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15" windowWidth="9645" windowHeight="8760" tabRatio="604" activeTab="1"/>
  </bookViews>
  <sheets>
    <sheet name="Stm. of Activities" sheetId="5" r:id="rId1"/>
    <sheet name="Gen Rev" sheetId="1" r:id="rId2"/>
    <sheet name="Gen Exp" sheetId="2" r:id="rId3"/>
    <sheet name="Gov Rev" sheetId="4" r:id="rId4"/>
    <sheet name="Gov Exp" sheetId="3" r:id="rId5"/>
    <sheet name="Sheet1" sheetId="6" r:id="rId6"/>
  </sheets>
  <definedNames>
    <definedName name="_xlnm.Print_Area" localSheetId="2">'Gen Exp'!$B$1:$AF$297</definedName>
    <definedName name="_xlnm.Print_Area" localSheetId="1">'Gen Rev'!$B$1:$AH$298</definedName>
    <definedName name="_xlnm.Print_Area" localSheetId="4">'Gov Exp'!$B$1:$AF$300</definedName>
    <definedName name="_xlnm.Print_Area" localSheetId="3">'Gov Rev'!$B$1:$AH$301</definedName>
    <definedName name="_xlnm.Print_Area" localSheetId="0">'Stm. of Activities'!$A$1:$AK$117</definedName>
  </definedNames>
  <calcPr calcId="125725" iterate="1" iterateCount="1"/>
</workbook>
</file>

<file path=xl/calcChain.xml><?xml version="1.0" encoding="utf-8"?>
<calcChain xmlns="http://schemas.openxmlformats.org/spreadsheetml/2006/main">
  <c r="M110" i="5"/>
  <c r="M109"/>
  <c r="M107"/>
  <c r="M27"/>
  <c r="M108"/>
  <c r="M102"/>
  <c r="M15"/>
  <c r="M101"/>
  <c r="M73"/>
  <c r="M77"/>
  <c r="M71"/>
  <c r="M38"/>
  <c r="M106"/>
  <c r="M104"/>
  <c r="M41"/>
  <c r="M58"/>
  <c r="M105"/>
  <c r="M59"/>
  <c r="M21"/>
  <c r="M113"/>
  <c r="M66"/>
  <c r="M70"/>
  <c r="M25"/>
  <c r="M43"/>
  <c r="M103"/>
  <c r="M48"/>
  <c r="M115"/>
  <c r="M28"/>
  <c r="M39"/>
  <c r="M84"/>
  <c r="M54"/>
  <c r="M42"/>
  <c r="M37"/>
  <c r="M33"/>
  <c r="M32"/>
  <c r="M26"/>
  <c r="M31"/>
  <c r="M67"/>
  <c r="M55"/>
  <c r="M23"/>
  <c r="M13"/>
  <c r="M18"/>
  <c r="M120"/>
  <c r="M83"/>
  <c r="M34"/>
  <c r="M52"/>
  <c r="M49"/>
  <c r="M17"/>
  <c r="M16"/>
  <c r="M112"/>
  <c r="M50"/>
  <c r="M79"/>
  <c r="M80"/>
  <c r="M81"/>
  <c r="M35"/>
  <c r="M40"/>
  <c r="M36"/>
  <c r="M57"/>
  <c r="M114"/>
  <c r="M85"/>
  <c r="M29"/>
  <c r="M100"/>
  <c r="M61"/>
  <c r="M24"/>
  <c r="M86"/>
  <c r="M20"/>
  <c r="M82"/>
  <c r="M47"/>
  <c r="M19"/>
  <c r="AE111"/>
  <c r="AE46"/>
  <c r="AE82"/>
  <c r="AE47"/>
  <c r="AF8" i="3"/>
  <c r="AH9" i="4"/>
  <c r="AH8" i="1"/>
  <c r="AF231" i="3"/>
  <c r="AF8" i="2"/>
  <c r="AH232" i="4"/>
  <c r="AF20" i="2"/>
  <c r="AF229"/>
  <c r="V125" i="1"/>
  <c r="AH171"/>
  <c r="AH256"/>
  <c r="AH214"/>
  <c r="AH181"/>
  <c r="AH81"/>
  <c r="AH59"/>
  <c r="AH94"/>
  <c r="AH28"/>
  <c r="AH277"/>
  <c r="AH186"/>
  <c r="AH287"/>
  <c r="AH283"/>
  <c r="AH284"/>
  <c r="AH216"/>
  <c r="AH205"/>
  <c r="AH173"/>
  <c r="AH170"/>
  <c r="AH143"/>
  <c r="AH104"/>
  <c r="AH202"/>
  <c r="AH61"/>
  <c r="AH139"/>
  <c r="AH127"/>
  <c r="AH109"/>
  <c r="AH47"/>
  <c r="AH217"/>
  <c r="AH33"/>
  <c r="AH185"/>
  <c r="AH174"/>
  <c r="AH154"/>
  <c r="AH53"/>
  <c r="AH270"/>
  <c r="AH42"/>
  <c r="AH65"/>
  <c r="AH169"/>
  <c r="AH230"/>
  <c r="AH157"/>
  <c r="AH231"/>
  <c r="AH137"/>
  <c r="AH218"/>
  <c r="AH201"/>
  <c r="AH52"/>
  <c r="AH255"/>
  <c r="AH135"/>
  <c r="AH297"/>
  <c r="AH108"/>
  <c r="AH187"/>
  <c r="AH184"/>
  <c r="AH133"/>
  <c r="AH223"/>
  <c r="AH45"/>
  <c r="AH246"/>
  <c r="AH66"/>
  <c r="AH179"/>
  <c r="AH131"/>
  <c r="AH224"/>
  <c r="AH192"/>
  <c r="AH211"/>
  <c r="AH122"/>
  <c r="AH110"/>
  <c r="AH24"/>
  <c r="AH213"/>
  <c r="AH126"/>
  <c r="AH22"/>
  <c r="AH288"/>
  <c r="AH220"/>
  <c r="AH140"/>
  <c r="AH266"/>
  <c r="AH134"/>
  <c r="AH208"/>
  <c r="AH125"/>
  <c r="AH123"/>
  <c r="AH146"/>
  <c r="AH229"/>
  <c r="AH44"/>
  <c r="AH243"/>
  <c r="AH102"/>
  <c r="AH23"/>
  <c r="AH19"/>
  <c r="AH175"/>
  <c r="AH101"/>
  <c r="AH51"/>
  <c r="AH281"/>
  <c r="AH265"/>
  <c r="AH204"/>
  <c r="AH98"/>
  <c r="AH78"/>
  <c r="AH222"/>
  <c r="AH244"/>
  <c r="AH183"/>
  <c r="AH295"/>
  <c r="AH69"/>
  <c r="AH294"/>
  <c r="AH200"/>
  <c r="AH115"/>
  <c r="AH27"/>
  <c r="AH83"/>
  <c r="AH105"/>
  <c r="AH72"/>
  <c r="AH285"/>
  <c r="AH145"/>
  <c r="AH144"/>
  <c r="AH67"/>
  <c r="AH292"/>
  <c r="AH250"/>
  <c r="AH198"/>
  <c r="AH251"/>
  <c r="AH177"/>
  <c r="AH56"/>
  <c r="AH48"/>
  <c r="AH260"/>
  <c r="AH159"/>
  <c r="AH35"/>
  <c r="AH261"/>
  <c r="AH31"/>
  <c r="AH196"/>
  <c r="AH245"/>
  <c r="AH138"/>
  <c r="AH120"/>
  <c r="AH117"/>
  <c r="AH111"/>
  <c r="AH30"/>
  <c r="AH77"/>
  <c r="AH43"/>
  <c r="L289" i="2"/>
  <c r="L135"/>
  <c r="P135"/>
  <c r="L190"/>
  <c r="L262"/>
  <c r="L129"/>
  <c r="F142" i="3"/>
  <c r="F141" i="2"/>
  <c r="AF46" i="3"/>
  <c r="AH47" i="4"/>
  <c r="AF46" i="2"/>
  <c r="AH46" i="1"/>
  <c r="F55" i="3"/>
  <c r="F55" i="2"/>
  <c r="Z97" i="3"/>
  <c r="AB98" i="4"/>
  <c r="X98"/>
  <c r="V98"/>
  <c r="T58" i="3"/>
  <c r="L58"/>
  <c r="V59" i="4"/>
  <c r="L76"/>
  <c r="J75" i="1"/>
  <c r="L115" i="3"/>
  <c r="F115"/>
  <c r="L116" i="4"/>
  <c r="X116"/>
  <c r="L114" i="2"/>
  <c r="F114"/>
  <c r="V114" i="1"/>
  <c r="S43" i="5"/>
  <c r="F98" i="3"/>
  <c r="L99" i="4"/>
  <c r="F97" i="2"/>
  <c r="J97" i="1"/>
  <c r="F96" i="3"/>
  <c r="F86" i="2"/>
  <c r="O41" i="5"/>
  <c r="W26"/>
  <c r="AE84"/>
  <c r="L76" i="2"/>
  <c r="O39" i="5"/>
  <c r="F74" i="3"/>
  <c r="F74" i="2"/>
  <c r="F73" i="3"/>
  <c r="Q31" i="5"/>
  <c r="L63" i="1"/>
  <c r="N270" i="3"/>
  <c r="L270"/>
  <c r="V271" i="4"/>
  <c r="AH271" s="1"/>
  <c r="N267" i="2"/>
  <c r="L267"/>
  <c r="U103" i="5"/>
  <c r="AE103" s="1"/>
  <c r="AH268" i="1"/>
  <c r="J37"/>
  <c r="J21"/>
  <c r="Q15" i="5"/>
  <c r="O15"/>
  <c r="T101" i="3"/>
  <c r="AF222"/>
  <c r="AH223" i="4"/>
  <c r="AF287" i="2"/>
  <c r="P196" i="3"/>
  <c r="L196"/>
  <c r="J196"/>
  <c r="V197" i="4"/>
  <c r="W105" i="5"/>
  <c r="Q101"/>
  <c r="Q113"/>
  <c r="W113"/>
  <c r="W109"/>
  <c r="Q109"/>
  <c r="W73"/>
  <c r="L214" i="4"/>
  <c r="J212" i="1"/>
  <c r="Q74" i="5"/>
  <c r="W74"/>
  <c r="U74"/>
  <c r="S74"/>
  <c r="H198" i="2"/>
  <c r="H200" i="3"/>
  <c r="X201" i="4"/>
  <c r="P201"/>
  <c r="V199" i="1"/>
  <c r="L199"/>
  <c r="J198" i="3"/>
  <c r="F198"/>
  <c r="R198"/>
  <c r="T198"/>
  <c r="L198"/>
  <c r="X199" i="4"/>
  <c r="L199"/>
  <c r="R196" i="2"/>
  <c r="L196"/>
  <c r="J196"/>
  <c r="F196"/>
  <c r="V197" i="1"/>
  <c r="P247" i="2"/>
  <c r="L247"/>
  <c r="L248"/>
  <c r="L292"/>
  <c r="L188"/>
  <c r="L171"/>
  <c r="L232"/>
  <c r="L121"/>
  <c r="L252"/>
  <c r="L277"/>
  <c r="L175"/>
  <c r="L128"/>
  <c r="L226"/>
  <c r="L155"/>
  <c r="L227"/>
  <c r="L224"/>
  <c r="L131"/>
  <c r="L119"/>
  <c r="L218"/>
  <c r="L279"/>
  <c r="L231"/>
  <c r="L157"/>
  <c r="L177"/>
  <c r="L148"/>
  <c r="L146"/>
  <c r="AF146" s="1"/>
  <c r="L189"/>
  <c r="L154"/>
  <c r="L257"/>
  <c r="L288"/>
  <c r="L187"/>
  <c r="L149"/>
  <c r="L124"/>
  <c r="L118"/>
  <c r="L258"/>
  <c r="L285"/>
  <c r="L253"/>
  <c r="L268"/>
  <c r="L256"/>
  <c r="L246"/>
  <c r="L225"/>
  <c r="L251"/>
  <c r="L141"/>
  <c r="L275"/>
  <c r="P147"/>
  <c r="L147"/>
  <c r="R250" i="3"/>
  <c r="T250"/>
  <c r="L250"/>
  <c r="J250"/>
  <c r="P250"/>
  <c r="F250"/>
  <c r="X251" i="4"/>
  <c r="R247" i="2"/>
  <c r="T247"/>
  <c r="J247"/>
  <c r="F247"/>
  <c r="V248" i="1"/>
  <c r="V256" i="4"/>
  <c r="AF100" i="3"/>
  <c r="AH101" i="4"/>
  <c r="AF99" i="2"/>
  <c r="AH99" i="1"/>
  <c r="T282" i="3"/>
  <c r="J282"/>
  <c r="X283" i="4"/>
  <c r="V280" i="1"/>
  <c r="AF113" i="3"/>
  <c r="AH114" i="4"/>
  <c r="AF112" i="2"/>
  <c r="AH286" i="1"/>
  <c r="T293" i="4"/>
  <c r="T260" i="3"/>
  <c r="P260"/>
  <c r="J260"/>
  <c r="H260"/>
  <c r="L261" i="4"/>
  <c r="J192" i="3"/>
  <c r="V193" i="4"/>
  <c r="L190" i="3"/>
  <c r="J179"/>
  <c r="X180" i="4"/>
  <c r="V180"/>
  <c r="T180"/>
  <c r="F180"/>
  <c r="T177" i="3"/>
  <c r="V159" i="4"/>
  <c r="T156" i="3"/>
  <c r="R156"/>
  <c r="L156"/>
  <c r="J156"/>
  <c r="W59" i="5"/>
  <c r="Q59"/>
  <c r="S59"/>
  <c r="T153" i="4"/>
  <c r="P153"/>
  <c r="L153"/>
  <c r="R153" i="1"/>
  <c r="L153"/>
  <c r="AF147" i="3"/>
  <c r="AH148" i="4"/>
  <c r="AH147" i="1"/>
  <c r="T135" i="2"/>
  <c r="J135"/>
  <c r="F135"/>
  <c r="V136" i="1"/>
  <c r="J132" i="3"/>
  <c r="V133" i="4"/>
  <c r="L119" i="3"/>
  <c r="W55" i="5"/>
  <c r="AE55" s="1"/>
  <c r="T56" i="4"/>
  <c r="AH56" s="1"/>
  <c r="S28" i="5"/>
  <c r="F273" i="3"/>
  <c r="F270" i="2"/>
  <c r="F264" i="3"/>
  <c r="F261" i="2"/>
  <c r="F293" i="3"/>
  <c r="F290" i="2"/>
  <c r="L281" i="3"/>
  <c r="L278" i="2"/>
  <c r="F277" i="3"/>
  <c r="F276"/>
  <c r="F273" i="2"/>
  <c r="W106" i="5"/>
  <c r="F298" i="3"/>
  <c r="F295" i="2"/>
  <c r="AE26" i="5"/>
  <c r="W77"/>
  <c r="F213" i="3"/>
  <c r="F211" i="2"/>
  <c r="G74" i="5"/>
  <c r="M74" s="1"/>
  <c r="F207" i="3"/>
  <c r="F205" i="2"/>
  <c r="F141" i="3"/>
  <c r="F140" i="2"/>
  <c r="AF151"/>
  <c r="AH152" i="1"/>
  <c r="F183" i="3"/>
  <c r="F181" i="2"/>
  <c r="M78" i="5" l="1"/>
  <c r="M69"/>
  <c r="M45"/>
  <c r="M116"/>
  <c r="M53"/>
  <c r="M76"/>
  <c r="M62"/>
  <c r="M60"/>
  <c r="M65"/>
  <c r="M68"/>
  <c r="M22"/>
  <c r="M75"/>
  <c r="M46"/>
  <c r="M51"/>
  <c r="M44"/>
  <c r="M56"/>
  <c r="M63"/>
  <c r="M64"/>
  <c r="M72"/>
  <c r="M111"/>
  <c r="M30"/>
  <c r="M14"/>
  <c r="K123"/>
  <c r="AG111"/>
  <c r="AK111" s="1"/>
  <c r="AG46"/>
  <c r="AK46" s="1"/>
  <c r="AG47"/>
  <c r="AK47" s="1"/>
  <c r="AG82"/>
  <c r="AK82" s="1"/>
  <c r="AE74"/>
  <c r="AG74" s="1"/>
  <c r="AK74" s="1"/>
  <c r="AG84"/>
  <c r="AK84" s="1"/>
  <c r="AF270" i="3"/>
  <c r="AF267" i="2"/>
  <c r="AE59" i="5"/>
  <c r="AG103"/>
  <c r="AK103" s="1"/>
  <c r="AG59"/>
  <c r="AK59" s="1"/>
  <c r="AG26"/>
  <c r="AK26" s="1"/>
  <c r="AE13"/>
  <c r="AG13" s="1"/>
  <c r="AK13" s="1"/>
  <c r="AG55"/>
  <c r="AK55" s="1"/>
  <c r="F181" i="3"/>
  <c r="V182" i="4"/>
  <c r="AF181" i="3"/>
  <c r="AH182" i="4"/>
  <c r="F179" i="2"/>
  <c r="AF179" s="1"/>
  <c r="AH180" i="1"/>
  <c r="AE66" i="5"/>
  <c r="W70"/>
  <c r="AE70" s="1"/>
  <c r="X196" i="4"/>
  <c r="W71" i="5"/>
  <c r="AE71" s="1"/>
  <c r="F284" i="3"/>
  <c r="V285" i="4"/>
  <c r="F281" i="2"/>
  <c r="T282" i="1"/>
  <c r="U110" i="5"/>
  <c r="O110"/>
  <c r="AC43"/>
  <c r="F97" i="4"/>
  <c r="F95" i="1"/>
  <c r="F76" i="3"/>
  <c r="L74"/>
  <c r="L74" i="2"/>
  <c r="W38" i="5"/>
  <c r="AE38" s="1"/>
  <c r="X74" i="4"/>
  <c r="F73" i="2"/>
  <c r="V73" i="1"/>
  <c r="W37" i="5"/>
  <c r="AE37" s="1"/>
  <c r="U33"/>
  <c r="AE33" s="1"/>
  <c r="V65" i="4"/>
  <c r="P65"/>
  <c r="L64" i="1"/>
  <c r="F62" i="3"/>
  <c r="L62"/>
  <c r="F62" i="2"/>
  <c r="L62"/>
  <c r="W31" i="5"/>
  <c r="AE115"/>
  <c r="AE114"/>
  <c r="AE113"/>
  <c r="AE112"/>
  <c r="AE109"/>
  <c r="AE108"/>
  <c r="AE107"/>
  <c r="AE106"/>
  <c r="AE104"/>
  <c r="AE102"/>
  <c r="AE101"/>
  <c r="AE100"/>
  <c r="AE86"/>
  <c r="AE85"/>
  <c r="AE83"/>
  <c r="AE120"/>
  <c r="AE81"/>
  <c r="AE80"/>
  <c r="AE79"/>
  <c r="AE77"/>
  <c r="AE76"/>
  <c r="AG76" s="1"/>
  <c r="AE73"/>
  <c r="AE72"/>
  <c r="AE69"/>
  <c r="AE68"/>
  <c r="AE67"/>
  <c r="AE65"/>
  <c r="AG65" s="1"/>
  <c r="AE64"/>
  <c r="AE63"/>
  <c r="AG63" s="1"/>
  <c r="AE61"/>
  <c r="AE60"/>
  <c r="AG60" s="1"/>
  <c r="AE58"/>
  <c r="AE57"/>
  <c r="AG57" s="1"/>
  <c r="AE56"/>
  <c r="AE54"/>
  <c r="AE53"/>
  <c r="AE52"/>
  <c r="AE116"/>
  <c r="AE51"/>
  <c r="AG51" s="1"/>
  <c r="AE50"/>
  <c r="AE49"/>
  <c r="AE48"/>
  <c r="AE45"/>
  <c r="AE75"/>
  <c r="AE62"/>
  <c r="AE44"/>
  <c r="AE78"/>
  <c r="AE42"/>
  <c r="AE41"/>
  <c r="AE40"/>
  <c r="AE39"/>
  <c r="AE34"/>
  <c r="AE32"/>
  <c r="AE30"/>
  <c r="AE29"/>
  <c r="AE28"/>
  <c r="AE27"/>
  <c r="AE25"/>
  <c r="AE24"/>
  <c r="AE36"/>
  <c r="AE35"/>
  <c r="AE23"/>
  <c r="AE22"/>
  <c r="AE21"/>
  <c r="AE20"/>
  <c r="AE19"/>
  <c r="AE16"/>
  <c r="AE17"/>
  <c r="AG17" s="1"/>
  <c r="AK17" s="1"/>
  <c r="AE12"/>
  <c r="AG12" s="1"/>
  <c r="AK12" s="1"/>
  <c r="AE14"/>
  <c r="AG14" s="1"/>
  <c r="AK14" s="1"/>
  <c r="AG53"/>
  <c r="AG48"/>
  <c r="AG61"/>
  <c r="AG67"/>
  <c r="AG73"/>
  <c r="F21" i="3"/>
  <c r="F21" i="2"/>
  <c r="AH21" i="1"/>
  <c r="AE15" i="5"/>
  <c r="F29" i="3"/>
  <c r="F29" i="2"/>
  <c r="AE18" i="5"/>
  <c r="AE105"/>
  <c r="AC11" i="6"/>
  <c r="AA1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28"/>
  <c r="E26"/>
  <c r="E24"/>
  <c r="E33"/>
  <c r="E32"/>
  <c r="E20"/>
  <c r="E31"/>
  <c r="E30"/>
  <c r="E29"/>
  <c r="E27"/>
  <c r="E25"/>
  <c r="E23"/>
  <c r="E21"/>
  <c r="E19"/>
  <c r="E18"/>
  <c r="E17"/>
  <c r="E16"/>
  <c r="E15"/>
  <c r="E14"/>
  <c r="E13"/>
  <c r="E12"/>
  <c r="G11"/>
  <c r="E11" s="1"/>
  <c r="AA576"/>
  <c r="U576"/>
  <c r="K576"/>
  <c r="AA575"/>
  <c r="U575"/>
  <c r="K575"/>
  <c r="AA574"/>
  <c r="U574"/>
  <c r="K574"/>
  <c r="AA573"/>
  <c r="U573"/>
  <c r="K573"/>
  <c r="AA572"/>
  <c r="U572"/>
  <c r="K572"/>
  <c r="AA571"/>
  <c r="U571"/>
  <c r="K571"/>
  <c r="AA570"/>
  <c r="U570"/>
  <c r="K570"/>
  <c r="AA569"/>
  <c r="U569"/>
  <c r="K569"/>
  <c r="AA568"/>
  <c r="U568"/>
  <c r="K568"/>
  <c r="AA567"/>
  <c r="U567"/>
  <c r="K567"/>
  <c r="AA566"/>
  <c r="U566"/>
  <c r="K566"/>
  <c r="AA565"/>
  <c r="U565"/>
  <c r="K565"/>
  <c r="AA564"/>
  <c r="U564"/>
  <c r="K564"/>
  <c r="AA563"/>
  <c r="U563"/>
  <c r="K563"/>
  <c r="AA562"/>
  <c r="U562"/>
  <c r="K562"/>
  <c r="AA561"/>
  <c r="U561"/>
  <c r="K561"/>
  <c r="AA560"/>
  <c r="U560"/>
  <c r="K560"/>
  <c r="AA559"/>
  <c r="U559"/>
  <c r="K559"/>
  <c r="AA558"/>
  <c r="U558"/>
  <c r="K558"/>
  <c r="AA557"/>
  <c r="U557"/>
  <c r="K557"/>
  <c r="AA556"/>
  <c r="U556"/>
  <c r="K556"/>
  <c r="AA555"/>
  <c r="U555"/>
  <c r="K555"/>
  <c r="AA554"/>
  <c r="U554"/>
  <c r="K554"/>
  <c r="AA553"/>
  <c r="U553"/>
  <c r="K553"/>
  <c r="AA552"/>
  <c r="U552"/>
  <c r="K552"/>
  <c r="AA551"/>
  <c r="U551"/>
  <c r="K551"/>
  <c r="AA550"/>
  <c r="U550"/>
  <c r="K550"/>
  <c r="AA549"/>
  <c r="U549"/>
  <c r="K549"/>
  <c r="AA548"/>
  <c r="U548"/>
  <c r="K548"/>
  <c r="AA547"/>
  <c r="U547"/>
  <c r="K547"/>
  <c r="AA546"/>
  <c r="U546"/>
  <c r="K546"/>
  <c r="AA543"/>
  <c r="U543"/>
  <c r="K543"/>
  <c r="AA542"/>
  <c r="U542"/>
  <c r="K542"/>
  <c r="AA541"/>
  <c r="U541"/>
  <c r="K541"/>
  <c r="AA540"/>
  <c r="U540"/>
  <c r="K540"/>
  <c r="AA539"/>
  <c r="U539"/>
  <c r="K539"/>
  <c r="AA538"/>
  <c r="U538"/>
  <c r="K538"/>
  <c r="AA537"/>
  <c r="U537"/>
  <c r="K537"/>
  <c r="AA536"/>
  <c r="U536"/>
  <c r="K536"/>
  <c r="AA535"/>
  <c r="U535"/>
  <c r="K535"/>
  <c r="AA534"/>
  <c r="U534"/>
  <c r="K534"/>
  <c r="AA533"/>
  <c r="U533"/>
  <c r="K533"/>
  <c r="AA532"/>
  <c r="U532"/>
  <c r="K532"/>
  <c r="AA531"/>
  <c r="U531"/>
  <c r="K531"/>
  <c r="AA530"/>
  <c r="U530"/>
  <c r="K530"/>
  <c r="AA529"/>
  <c r="K529"/>
  <c r="AA528"/>
  <c r="U528"/>
  <c r="K528"/>
  <c r="AA527"/>
  <c r="U527"/>
  <c r="K527"/>
  <c r="AA526"/>
  <c r="U526"/>
  <c r="K526"/>
  <c r="AA525"/>
  <c r="U525"/>
  <c r="K525"/>
  <c r="AA524"/>
  <c r="U524"/>
  <c r="K524"/>
  <c r="AA523"/>
  <c r="U523"/>
  <c r="K523"/>
  <c r="AA522"/>
  <c r="U522"/>
  <c r="K522"/>
  <c r="AA521"/>
  <c r="U521"/>
  <c r="K521"/>
  <c r="AA520"/>
  <c r="U520"/>
  <c r="K520"/>
  <c r="AA519"/>
  <c r="U519"/>
  <c r="K519"/>
  <c r="AA518"/>
  <c r="U518"/>
  <c r="K518"/>
  <c r="AA517"/>
  <c r="U517"/>
  <c r="K517"/>
  <c r="AA516"/>
  <c r="U516"/>
  <c r="K516"/>
  <c r="AA515"/>
  <c r="U515"/>
  <c r="K515"/>
  <c r="AA514"/>
  <c r="U514"/>
  <c r="K514"/>
  <c r="AA513"/>
  <c r="U513"/>
  <c r="K513"/>
  <c r="AA512"/>
  <c r="U512"/>
  <c r="K512"/>
  <c r="AA511"/>
  <c r="U511"/>
  <c r="K511"/>
  <c r="AA510"/>
  <c r="U510"/>
  <c r="K510"/>
  <c r="AA509"/>
  <c r="U509"/>
  <c r="K509"/>
  <c r="AA508"/>
  <c r="U508"/>
  <c r="K508"/>
  <c r="AA507"/>
  <c r="U507"/>
  <c r="K507"/>
  <c r="AA506"/>
  <c r="U506"/>
  <c r="K506"/>
  <c r="AA505"/>
  <c r="U505"/>
  <c r="K505"/>
  <c r="AA504"/>
  <c r="U504"/>
  <c r="K504"/>
  <c r="AA503"/>
  <c r="U503"/>
  <c r="K503"/>
  <c r="AA502"/>
  <c r="U502"/>
  <c r="K502"/>
  <c r="AA501"/>
  <c r="U501"/>
  <c r="K501"/>
  <c r="AA500"/>
  <c r="U500"/>
  <c r="K500"/>
  <c r="AA499"/>
  <c r="U499"/>
  <c r="K499"/>
  <c r="AA498"/>
  <c r="U498"/>
  <c r="K498"/>
  <c r="AA497"/>
  <c r="U497"/>
  <c r="K497"/>
  <c r="AA496"/>
  <c r="U496"/>
  <c r="K496"/>
  <c r="AA495"/>
  <c r="U495"/>
  <c r="K495"/>
  <c r="AA494"/>
  <c r="U494"/>
  <c r="K494"/>
  <c r="AA493"/>
  <c r="U493"/>
  <c r="K493"/>
  <c r="AA492"/>
  <c r="U492"/>
  <c r="K492"/>
  <c r="AA491"/>
  <c r="U491"/>
  <c r="K491"/>
  <c r="AA490"/>
  <c r="U490"/>
  <c r="K490"/>
  <c r="AA489"/>
  <c r="U489"/>
  <c r="K489"/>
  <c r="U488"/>
  <c r="K488"/>
  <c r="AA488"/>
  <c r="AA487"/>
  <c r="U487"/>
  <c r="K487"/>
  <c r="AA486"/>
  <c r="U486"/>
  <c r="K486"/>
  <c r="AA485"/>
  <c r="U485"/>
  <c r="K485"/>
  <c r="AA484"/>
  <c r="U484"/>
  <c r="K484"/>
  <c r="AA483"/>
  <c r="U483"/>
  <c r="K483"/>
  <c r="AA482"/>
  <c r="U482"/>
  <c r="K482"/>
  <c r="AA481"/>
  <c r="U481"/>
  <c r="K481"/>
  <c r="AA480"/>
  <c r="U480"/>
  <c r="K480"/>
  <c r="AA479"/>
  <c r="U479"/>
  <c r="K479"/>
  <c r="AA478"/>
  <c r="U478"/>
  <c r="K478"/>
  <c r="AA477"/>
  <c r="U477"/>
  <c r="K477"/>
  <c r="AA476"/>
  <c r="U476"/>
  <c r="K476"/>
  <c r="AA475"/>
  <c r="U475"/>
  <c r="K475"/>
  <c r="AA474"/>
  <c r="U474"/>
  <c r="K474"/>
  <c r="AA473"/>
  <c r="U473"/>
  <c r="K473"/>
  <c r="AA472"/>
  <c r="U472"/>
  <c r="K472"/>
  <c r="AA471"/>
  <c r="U471"/>
  <c r="K471"/>
  <c r="AA468"/>
  <c r="U468"/>
  <c r="K468"/>
  <c r="AA467"/>
  <c r="U467"/>
  <c r="K467"/>
  <c r="AA466"/>
  <c r="U466"/>
  <c r="K466"/>
  <c r="AA465"/>
  <c r="U465"/>
  <c r="K465"/>
  <c r="AA464"/>
  <c r="U464"/>
  <c r="K464"/>
  <c r="AA463"/>
  <c r="U463"/>
  <c r="K463"/>
  <c r="AA462"/>
  <c r="U462"/>
  <c r="K462"/>
  <c r="AA461"/>
  <c r="U461"/>
  <c r="K461"/>
  <c r="AA460"/>
  <c r="U460"/>
  <c r="K460"/>
  <c r="AA459"/>
  <c r="U459"/>
  <c r="K459"/>
  <c r="AA458"/>
  <c r="U458"/>
  <c r="K458"/>
  <c r="AA457"/>
  <c r="U457"/>
  <c r="K457"/>
  <c r="AA456"/>
  <c r="U456"/>
  <c r="K456"/>
  <c r="AA455"/>
  <c r="K455"/>
  <c r="AA454"/>
  <c r="U454"/>
  <c r="K454"/>
  <c r="AA453"/>
  <c r="U453"/>
  <c r="K453"/>
  <c r="AA452"/>
  <c r="U452"/>
  <c r="K452"/>
  <c r="AA451"/>
  <c r="U451"/>
  <c r="K451"/>
  <c r="AA450"/>
  <c r="U450"/>
  <c r="K450"/>
  <c r="AA449"/>
  <c r="U449"/>
  <c r="K449"/>
  <c r="AA448"/>
  <c r="U448"/>
  <c r="K448"/>
  <c r="AA447"/>
  <c r="U447"/>
  <c r="K447"/>
  <c r="AA446"/>
  <c r="U446"/>
  <c r="K446"/>
  <c r="AA445"/>
  <c r="U445"/>
  <c r="K445"/>
  <c r="AA444"/>
  <c r="U444"/>
  <c r="K444"/>
  <c r="AA443"/>
  <c r="U443"/>
  <c r="K443"/>
  <c r="AA442"/>
  <c r="U442"/>
  <c r="K442"/>
  <c r="AA441"/>
  <c r="U441"/>
  <c r="K441"/>
  <c r="AA440"/>
  <c r="U440"/>
  <c r="K440"/>
  <c r="AA439"/>
  <c r="U439"/>
  <c r="K439"/>
  <c r="AA438"/>
  <c r="U438"/>
  <c r="K438"/>
  <c r="AA437"/>
  <c r="U437"/>
  <c r="K437"/>
  <c r="AA436"/>
  <c r="U436"/>
  <c r="K436"/>
  <c r="AA435"/>
  <c r="U435"/>
  <c r="K435"/>
  <c r="AA434"/>
  <c r="U434"/>
  <c r="K434"/>
  <c r="AA433"/>
  <c r="U433"/>
  <c r="K433"/>
  <c r="AA432"/>
  <c r="U432"/>
  <c r="K432"/>
  <c r="AA431"/>
  <c r="U431"/>
  <c r="K431"/>
  <c r="AA430"/>
  <c r="U430"/>
  <c r="K430"/>
  <c r="U429"/>
  <c r="K429"/>
  <c r="AA429"/>
  <c r="AA428"/>
  <c r="U428"/>
  <c r="K428"/>
  <c r="AA427"/>
  <c r="U427"/>
  <c r="K427"/>
  <c r="AA426"/>
  <c r="U426"/>
  <c r="K426"/>
  <c r="AA425"/>
  <c r="U425"/>
  <c r="K425"/>
  <c r="AA424"/>
  <c r="U424"/>
  <c r="K424"/>
  <c r="AA423"/>
  <c r="U423"/>
  <c r="K423"/>
  <c r="AA422"/>
  <c r="U422"/>
  <c r="K422"/>
  <c r="AA421"/>
  <c r="U421"/>
  <c r="K421"/>
  <c r="AA420"/>
  <c r="U420"/>
  <c r="K420"/>
  <c r="AA419"/>
  <c r="U419"/>
  <c r="K419"/>
  <c r="AA418"/>
  <c r="U418"/>
  <c r="K418"/>
  <c r="AA417"/>
  <c r="U417"/>
  <c r="K417"/>
  <c r="AA416"/>
  <c r="U416"/>
  <c r="K416"/>
  <c r="AA415"/>
  <c r="U415"/>
  <c r="K415"/>
  <c r="AA414"/>
  <c r="U414"/>
  <c r="K414"/>
  <c r="AA413"/>
  <c r="U413"/>
  <c r="K413"/>
  <c r="AA412"/>
  <c r="U412"/>
  <c r="K412"/>
  <c r="AA411"/>
  <c r="U411"/>
  <c r="K411"/>
  <c r="AA410"/>
  <c r="U410"/>
  <c r="K410"/>
  <c r="U409"/>
  <c r="K409"/>
  <c r="AA409"/>
  <c r="AA408"/>
  <c r="U408"/>
  <c r="K408"/>
  <c r="AA407"/>
  <c r="U407"/>
  <c r="K407"/>
  <c r="AA406"/>
  <c r="U406"/>
  <c r="K406"/>
  <c r="AA405"/>
  <c r="U405"/>
  <c r="K405"/>
  <c r="AA404"/>
  <c r="U404"/>
  <c r="K404"/>
  <c r="AA401"/>
  <c r="U401"/>
  <c r="K401"/>
  <c r="AA400"/>
  <c r="U400"/>
  <c r="K400"/>
  <c r="U399"/>
  <c r="K399"/>
  <c r="AA399"/>
  <c r="AA398"/>
  <c r="U398"/>
  <c r="K398"/>
  <c r="AA397"/>
  <c r="U397"/>
  <c r="K397"/>
  <c r="AA396"/>
  <c r="U396"/>
  <c r="K396"/>
  <c r="AA395"/>
  <c r="U395"/>
  <c r="K395"/>
  <c r="AA394"/>
  <c r="U394"/>
  <c r="K394"/>
  <c r="AA393"/>
  <c r="U393"/>
  <c r="K393"/>
  <c r="AA392"/>
  <c r="U392"/>
  <c r="K392"/>
  <c r="AA391"/>
  <c r="U391"/>
  <c r="K391"/>
  <c r="AA390"/>
  <c r="U390"/>
  <c r="K390"/>
  <c r="AA389"/>
  <c r="U389"/>
  <c r="K389"/>
  <c r="AA388"/>
  <c r="U388"/>
  <c r="K388"/>
  <c r="AA387"/>
  <c r="U387"/>
  <c r="K387"/>
  <c r="AA386"/>
  <c r="U386"/>
  <c r="K386"/>
  <c r="AA385"/>
  <c r="U385"/>
  <c r="K385"/>
  <c r="AA384"/>
  <c r="U384"/>
  <c r="K384"/>
  <c r="AA383"/>
  <c r="U383"/>
  <c r="K383"/>
  <c r="AA382"/>
  <c r="U382"/>
  <c r="K382"/>
  <c r="AA381"/>
  <c r="U381"/>
  <c r="K381"/>
  <c r="AA380"/>
  <c r="U380"/>
  <c r="K380"/>
  <c r="AA379"/>
  <c r="U379"/>
  <c r="K379"/>
  <c r="U378"/>
  <c r="K378"/>
  <c r="AA378"/>
  <c r="AA377"/>
  <c r="U377"/>
  <c r="K377"/>
  <c r="AA376"/>
  <c r="U376"/>
  <c r="K376"/>
  <c r="AA375"/>
  <c r="U375"/>
  <c r="K375"/>
  <c r="AA374"/>
  <c r="U374"/>
  <c r="K374"/>
  <c r="AA373"/>
  <c r="U373"/>
  <c r="K373"/>
  <c r="AA372"/>
  <c r="U372"/>
  <c r="K372"/>
  <c r="AA371"/>
  <c r="U371"/>
  <c r="K371"/>
  <c r="AA370"/>
  <c r="U370"/>
  <c r="K370"/>
  <c r="AA369"/>
  <c r="U369"/>
  <c r="K369"/>
  <c r="AA368"/>
  <c r="U368"/>
  <c r="K368"/>
  <c r="AA367"/>
  <c r="U367"/>
  <c r="K367"/>
  <c r="AA366"/>
  <c r="U366"/>
  <c r="K366"/>
  <c r="AA365"/>
  <c r="U365"/>
  <c r="K365"/>
  <c r="AA364"/>
  <c r="U364"/>
  <c r="K364"/>
  <c r="AA363"/>
  <c r="U363"/>
  <c r="K363"/>
  <c r="AA362"/>
  <c r="U362"/>
  <c r="K362"/>
  <c r="AA361"/>
  <c r="U361"/>
  <c r="K361"/>
  <c r="AA360"/>
  <c r="U360"/>
  <c r="K360"/>
  <c r="AA359"/>
  <c r="U359"/>
  <c r="K359"/>
  <c r="AA358"/>
  <c r="U358"/>
  <c r="K358"/>
  <c r="AA357"/>
  <c r="U357"/>
  <c r="K357"/>
  <c r="AA356"/>
  <c r="U356"/>
  <c r="K356"/>
  <c r="AA355"/>
  <c r="U355"/>
  <c r="K355"/>
  <c r="AA354"/>
  <c r="U354"/>
  <c r="K354"/>
  <c r="AA353"/>
  <c r="U353"/>
  <c r="K353"/>
  <c r="AA352"/>
  <c r="U352"/>
  <c r="K352"/>
  <c r="AA351"/>
  <c r="U351"/>
  <c r="K351"/>
  <c r="AA350"/>
  <c r="U350"/>
  <c r="K350"/>
  <c r="AA349"/>
  <c r="U349"/>
  <c r="K349"/>
  <c r="AA348"/>
  <c r="U348"/>
  <c r="K348"/>
  <c r="AA347"/>
  <c r="U347"/>
  <c r="K347"/>
  <c r="AA346"/>
  <c r="U346"/>
  <c r="K346"/>
  <c r="AA345"/>
  <c r="U345"/>
  <c r="K345"/>
  <c r="AA344"/>
  <c r="U344"/>
  <c r="K344"/>
  <c r="AA343"/>
  <c r="U343"/>
  <c r="K343"/>
  <c r="AA342"/>
  <c r="U342"/>
  <c r="K342"/>
  <c r="AA341"/>
  <c r="U341"/>
  <c r="K341"/>
  <c r="AA340"/>
  <c r="U340"/>
  <c r="K340"/>
  <c r="AA339"/>
  <c r="U339"/>
  <c r="K339"/>
  <c r="AA338"/>
  <c r="U338"/>
  <c r="K338"/>
  <c r="AA337"/>
  <c r="U337"/>
  <c r="K337"/>
  <c r="AA336"/>
  <c r="U336"/>
  <c r="K336"/>
  <c r="AA335"/>
  <c r="U335"/>
  <c r="K335"/>
  <c r="AA334"/>
  <c r="U334"/>
  <c r="K334"/>
  <c r="AA333"/>
  <c r="U333"/>
  <c r="K333"/>
  <c r="AA332"/>
  <c r="U332"/>
  <c r="K332"/>
  <c r="AA331"/>
  <c r="U331"/>
  <c r="K331"/>
  <c r="AA330"/>
  <c r="U330"/>
  <c r="K330"/>
  <c r="AA329"/>
  <c r="U329"/>
  <c r="K329"/>
  <c r="AA326"/>
  <c r="U326"/>
  <c r="K326"/>
  <c r="AA325"/>
  <c r="U325"/>
  <c r="K325"/>
  <c r="AA324"/>
  <c r="U324"/>
  <c r="K324"/>
  <c r="AA323"/>
  <c r="U323"/>
  <c r="K323"/>
  <c r="AA322"/>
  <c r="U322"/>
  <c r="K322"/>
  <c r="AA321"/>
  <c r="U321"/>
  <c r="K321"/>
  <c r="AA320"/>
  <c r="U320"/>
  <c r="K320"/>
  <c r="AA319"/>
  <c r="U319"/>
  <c r="K319"/>
  <c r="AA318"/>
  <c r="U318"/>
  <c r="K318"/>
  <c r="AA317"/>
  <c r="U317"/>
  <c r="K317"/>
  <c r="AA316"/>
  <c r="U316"/>
  <c r="K316"/>
  <c r="AA315"/>
  <c r="U315"/>
  <c r="K315"/>
  <c r="AA314"/>
  <c r="U314"/>
  <c r="K314"/>
  <c r="AA313"/>
  <c r="U313"/>
  <c r="K313"/>
  <c r="AA312"/>
  <c r="U312"/>
  <c r="K312"/>
  <c r="AA311"/>
  <c r="U311"/>
  <c r="K311"/>
  <c r="AA310"/>
  <c r="U310"/>
  <c r="K310"/>
  <c r="AA309"/>
  <c r="U309"/>
  <c r="K309"/>
  <c r="AA308"/>
  <c r="U308"/>
  <c r="K308"/>
  <c r="AA307"/>
  <c r="U307"/>
  <c r="K307"/>
  <c r="AA306"/>
  <c r="U306"/>
  <c r="K306"/>
  <c r="AA305"/>
  <c r="U305"/>
  <c r="K305"/>
  <c r="AA304"/>
  <c r="U304"/>
  <c r="K304"/>
  <c r="AA303"/>
  <c r="U303"/>
  <c r="K303"/>
  <c r="AA302"/>
  <c r="U302"/>
  <c r="K302"/>
  <c r="AA301"/>
  <c r="U301"/>
  <c r="K301"/>
  <c r="AA300"/>
  <c r="U300"/>
  <c r="K300"/>
  <c r="AA299"/>
  <c r="U299"/>
  <c r="K299"/>
  <c r="AA298"/>
  <c r="U298"/>
  <c r="K298"/>
  <c r="AA297"/>
  <c r="U297"/>
  <c r="K297"/>
  <c r="AA296"/>
  <c r="U296"/>
  <c r="K296"/>
  <c r="AA295"/>
  <c r="U295"/>
  <c r="K295"/>
  <c r="AA294"/>
  <c r="U294"/>
  <c r="K294"/>
  <c r="AA293"/>
  <c r="U293"/>
  <c r="K293"/>
  <c r="AA292"/>
  <c r="U292"/>
  <c r="K292"/>
  <c r="AA291"/>
  <c r="U291"/>
  <c r="K291"/>
  <c r="AA290"/>
  <c r="U290"/>
  <c r="K290"/>
  <c r="AA289"/>
  <c r="U289"/>
  <c r="K289"/>
  <c r="AA288"/>
  <c r="U288"/>
  <c r="K288"/>
  <c r="AA287"/>
  <c r="U287"/>
  <c r="K287"/>
  <c r="AA286"/>
  <c r="U286"/>
  <c r="K286"/>
  <c r="AA285"/>
  <c r="U285"/>
  <c r="K285"/>
  <c r="AA284"/>
  <c r="U284"/>
  <c r="K284"/>
  <c r="AA283"/>
  <c r="U283"/>
  <c r="K283"/>
  <c r="AA282"/>
  <c r="U282"/>
  <c r="K282"/>
  <c r="AA281"/>
  <c r="U281"/>
  <c r="K281"/>
  <c r="AA280"/>
  <c r="U280"/>
  <c r="K280"/>
  <c r="AA279"/>
  <c r="U279"/>
  <c r="K279"/>
  <c r="AA278"/>
  <c r="U278"/>
  <c r="K278"/>
  <c r="AA277"/>
  <c r="U277"/>
  <c r="K277"/>
  <c r="AA276"/>
  <c r="U276"/>
  <c r="K276"/>
  <c r="AA275"/>
  <c r="U275"/>
  <c r="K275"/>
  <c r="AA274"/>
  <c r="U274"/>
  <c r="K274"/>
  <c r="AA273"/>
  <c r="U273"/>
  <c r="K273"/>
  <c r="AA272"/>
  <c r="U272"/>
  <c r="K272"/>
  <c r="AA271"/>
  <c r="U271"/>
  <c r="K271"/>
  <c r="AA270"/>
  <c r="U270"/>
  <c r="K270"/>
  <c r="AA269"/>
  <c r="U269"/>
  <c r="K269"/>
  <c r="AA268"/>
  <c r="U268"/>
  <c r="K268"/>
  <c r="AA267"/>
  <c r="U267"/>
  <c r="K267"/>
  <c r="AA266"/>
  <c r="U266"/>
  <c r="K266"/>
  <c r="AA265"/>
  <c r="U265"/>
  <c r="K265"/>
  <c r="AA264"/>
  <c r="U264"/>
  <c r="K264"/>
  <c r="AA263"/>
  <c r="U263"/>
  <c r="K263"/>
  <c r="AA262"/>
  <c r="U262"/>
  <c r="K262"/>
  <c r="AA261"/>
  <c r="K261"/>
  <c r="AA258"/>
  <c r="U258"/>
  <c r="K258"/>
  <c r="AA257"/>
  <c r="U257"/>
  <c r="K257"/>
  <c r="AA256"/>
  <c r="U256"/>
  <c r="K256"/>
  <c r="AA255"/>
  <c r="U255"/>
  <c r="K255"/>
  <c r="AA254"/>
  <c r="U254"/>
  <c r="K254"/>
  <c r="AA253"/>
  <c r="U253"/>
  <c r="K253"/>
  <c r="AA252"/>
  <c r="U252"/>
  <c r="K252"/>
  <c r="AA251"/>
  <c r="U251"/>
  <c r="K251"/>
  <c r="AA250"/>
  <c r="U250"/>
  <c r="K250"/>
  <c r="U249"/>
  <c r="AA248"/>
  <c r="U248"/>
  <c r="K248"/>
  <c r="AA247"/>
  <c r="U247"/>
  <c r="AA246"/>
  <c r="U246"/>
  <c r="K246"/>
  <c r="AA245"/>
  <c r="U245"/>
  <c r="K245"/>
  <c r="AA244"/>
  <c r="U244"/>
  <c r="K244"/>
  <c r="AA243"/>
  <c r="U243"/>
  <c r="K243"/>
  <c r="AA242"/>
  <c r="U242"/>
  <c r="K242"/>
  <c r="AA241"/>
  <c r="U241"/>
  <c r="K241"/>
  <c r="AA240"/>
  <c r="U240"/>
  <c r="K240"/>
  <c r="AA239"/>
  <c r="U239"/>
  <c r="K239"/>
  <c r="AA238"/>
  <c r="U238"/>
  <c r="K238"/>
  <c r="AA237"/>
  <c r="U237"/>
  <c r="K237"/>
  <c r="AA236"/>
  <c r="U236"/>
  <c r="K236"/>
  <c r="AA235"/>
  <c r="U235"/>
  <c r="K235"/>
  <c r="AA234"/>
  <c r="U234"/>
  <c r="K234"/>
  <c r="U233"/>
  <c r="K233"/>
  <c r="AA232"/>
  <c r="U232"/>
  <c r="K232"/>
  <c r="AA231"/>
  <c r="U231"/>
  <c r="K231"/>
  <c r="AA230"/>
  <c r="U230"/>
  <c r="K230"/>
  <c r="AA229"/>
  <c r="U229"/>
  <c r="K229"/>
  <c r="AA228"/>
  <c r="U228"/>
  <c r="K228"/>
  <c r="AA227"/>
  <c r="U227"/>
  <c r="K227"/>
  <c r="AA226"/>
  <c r="U226"/>
  <c r="K226"/>
  <c r="AA225"/>
  <c r="U225"/>
  <c r="K225"/>
  <c r="AA224"/>
  <c r="U224"/>
  <c r="K224"/>
  <c r="AA223"/>
  <c r="U223"/>
  <c r="K223"/>
  <c r="AA222"/>
  <c r="U222"/>
  <c r="K222"/>
  <c r="AA221"/>
  <c r="U221"/>
  <c r="K221"/>
  <c r="AA220"/>
  <c r="U220"/>
  <c r="K220"/>
  <c r="AA219"/>
  <c r="U219"/>
  <c r="K219"/>
  <c r="AA218"/>
  <c r="U218"/>
  <c r="K218"/>
  <c r="AA217"/>
  <c r="U217"/>
  <c r="K217"/>
  <c r="AA216"/>
  <c r="U216"/>
  <c r="K216"/>
  <c r="AA215"/>
  <c r="U215"/>
  <c r="K215"/>
  <c r="AA214"/>
  <c r="U214"/>
  <c r="K214"/>
  <c r="AA213"/>
  <c r="U213"/>
  <c r="K213"/>
  <c r="AA212"/>
  <c r="U212"/>
  <c r="K212"/>
  <c r="AA211"/>
  <c r="U211"/>
  <c r="K211"/>
  <c r="AA210"/>
  <c r="U210"/>
  <c r="K210"/>
  <c r="AA209"/>
  <c r="U209"/>
  <c r="K209"/>
  <c r="AA208"/>
  <c r="U208"/>
  <c r="K208"/>
  <c r="AA207"/>
  <c r="U207"/>
  <c r="K207"/>
  <c r="AA206"/>
  <c r="U206"/>
  <c r="K206"/>
  <c r="AA205"/>
  <c r="U205"/>
  <c r="K205"/>
  <c r="AA204"/>
  <c r="U204"/>
  <c r="K204"/>
  <c r="AA203"/>
  <c r="U203"/>
  <c r="K203"/>
  <c r="AA202"/>
  <c r="U202"/>
  <c r="K202"/>
  <c r="AA201"/>
  <c r="U201"/>
  <c r="K201"/>
  <c r="AA200"/>
  <c r="U200"/>
  <c r="K200"/>
  <c r="AA199"/>
  <c r="U199"/>
  <c r="K199"/>
  <c r="AA198"/>
  <c r="U198"/>
  <c r="K198"/>
  <c r="AA197"/>
  <c r="U197"/>
  <c r="K197"/>
  <c r="AA196"/>
  <c r="U196"/>
  <c r="K196"/>
  <c r="AA195"/>
  <c r="U195"/>
  <c r="K195"/>
  <c r="AC195" s="1"/>
  <c r="AA194"/>
  <c r="U194"/>
  <c r="K194"/>
  <c r="AA193"/>
  <c r="U193"/>
  <c r="K193"/>
  <c r="AA192"/>
  <c r="U192"/>
  <c r="K192"/>
  <c r="AA191"/>
  <c r="U191"/>
  <c r="K191"/>
  <c r="AC191" s="1"/>
  <c r="AA188"/>
  <c r="U188"/>
  <c r="K188"/>
  <c r="AA187"/>
  <c r="U187"/>
  <c r="K187"/>
  <c r="AA186"/>
  <c r="U186"/>
  <c r="K186"/>
  <c r="AA185"/>
  <c r="U185"/>
  <c r="K185"/>
  <c r="AA184"/>
  <c r="U184"/>
  <c r="K184"/>
  <c r="AA183"/>
  <c r="U183"/>
  <c r="K183"/>
  <c r="AA182"/>
  <c r="U182"/>
  <c r="K182"/>
  <c r="AA181"/>
  <c r="U181"/>
  <c r="K181"/>
  <c r="AA180"/>
  <c r="U180"/>
  <c r="K180"/>
  <c r="AA179"/>
  <c r="U179"/>
  <c r="K179"/>
  <c r="AA178"/>
  <c r="U178"/>
  <c r="K178"/>
  <c r="AA177"/>
  <c r="U177"/>
  <c r="K177"/>
  <c r="AA176"/>
  <c r="U176"/>
  <c r="K176"/>
  <c r="AA175"/>
  <c r="U175"/>
  <c r="K175"/>
  <c r="AA174"/>
  <c r="U174"/>
  <c r="K174"/>
  <c r="AA173"/>
  <c r="U173"/>
  <c r="K173"/>
  <c r="AA172"/>
  <c r="U172"/>
  <c r="K172"/>
  <c r="AA171"/>
  <c r="U171"/>
  <c r="K171"/>
  <c r="AA170"/>
  <c r="U170"/>
  <c r="K170"/>
  <c r="AA169"/>
  <c r="U169"/>
  <c r="K169"/>
  <c r="AA168"/>
  <c r="U168"/>
  <c r="K168"/>
  <c r="AA167"/>
  <c r="U167"/>
  <c r="K167"/>
  <c r="AA166"/>
  <c r="U166"/>
  <c r="K166"/>
  <c r="AA165"/>
  <c r="U165"/>
  <c r="K165"/>
  <c r="AA164"/>
  <c r="U164"/>
  <c r="K164"/>
  <c r="AA163"/>
  <c r="U163"/>
  <c r="K163"/>
  <c r="AA162"/>
  <c r="U162"/>
  <c r="K162"/>
  <c r="AA161"/>
  <c r="U161"/>
  <c r="K161"/>
  <c r="AA160"/>
  <c r="U160"/>
  <c r="K160"/>
  <c r="AA159"/>
  <c r="U159"/>
  <c r="K159"/>
  <c r="AA158"/>
  <c r="U158"/>
  <c r="K158"/>
  <c r="AA157"/>
  <c r="U157"/>
  <c r="K157"/>
  <c r="AA156"/>
  <c r="U156"/>
  <c r="K156"/>
  <c r="AA155"/>
  <c r="U155"/>
  <c r="K155"/>
  <c r="AA154"/>
  <c r="U154"/>
  <c r="K154"/>
  <c r="AA153"/>
  <c r="U153"/>
  <c r="K153"/>
  <c r="AA152"/>
  <c r="U152"/>
  <c r="K152"/>
  <c r="AA151"/>
  <c r="U151"/>
  <c r="K151"/>
  <c r="AA150"/>
  <c r="U150"/>
  <c r="K150"/>
  <c r="AA149"/>
  <c r="U149"/>
  <c r="K149"/>
  <c r="AA148"/>
  <c r="U148"/>
  <c r="K148"/>
  <c r="AA147"/>
  <c r="U147"/>
  <c r="K147"/>
  <c r="AA146"/>
  <c r="U146"/>
  <c r="K146"/>
  <c r="AA145"/>
  <c r="U145"/>
  <c r="K145"/>
  <c r="AA144"/>
  <c r="U144"/>
  <c r="K144"/>
  <c r="AA143"/>
  <c r="U143"/>
  <c r="K143"/>
  <c r="AA142"/>
  <c r="U142"/>
  <c r="K142"/>
  <c r="AA141"/>
  <c r="U141"/>
  <c r="K141"/>
  <c r="AA140"/>
  <c r="U140"/>
  <c r="K140"/>
  <c r="AA139"/>
  <c r="U139"/>
  <c r="K139"/>
  <c r="AA138"/>
  <c r="U138"/>
  <c r="K138"/>
  <c r="AA137"/>
  <c r="U137"/>
  <c r="K137"/>
  <c r="AA136"/>
  <c r="U136"/>
  <c r="K136"/>
  <c r="AA135"/>
  <c r="U135"/>
  <c r="K135"/>
  <c r="AA134"/>
  <c r="U134"/>
  <c r="K134"/>
  <c r="AA133"/>
  <c r="U133"/>
  <c r="K133"/>
  <c r="AA132"/>
  <c r="U132"/>
  <c r="K132"/>
  <c r="AA131"/>
  <c r="U131"/>
  <c r="K131"/>
  <c r="AC131" s="1"/>
  <c r="AA130"/>
  <c r="U130"/>
  <c r="K130"/>
  <c r="AA129"/>
  <c r="U129"/>
  <c r="K129"/>
  <c r="AA128"/>
  <c r="U128"/>
  <c r="K128"/>
  <c r="AA127"/>
  <c r="U127"/>
  <c r="K127"/>
  <c r="AA126"/>
  <c r="U126"/>
  <c r="K126"/>
  <c r="AA125"/>
  <c r="U125"/>
  <c r="K125"/>
  <c r="AA124"/>
  <c r="U124"/>
  <c r="K124"/>
  <c r="AA123"/>
  <c r="U123"/>
  <c r="K123"/>
  <c r="AA120"/>
  <c r="U120"/>
  <c r="K120"/>
  <c r="AA119"/>
  <c r="U119"/>
  <c r="K119"/>
  <c r="AA118"/>
  <c r="U118"/>
  <c r="K118"/>
  <c r="AA117"/>
  <c r="U117"/>
  <c r="K117"/>
  <c r="AA116"/>
  <c r="U116"/>
  <c r="K116"/>
  <c r="AA115"/>
  <c r="U115"/>
  <c r="K115"/>
  <c r="AA114"/>
  <c r="U114"/>
  <c r="K114"/>
  <c r="AA113"/>
  <c r="U113"/>
  <c r="K113"/>
  <c r="AA112"/>
  <c r="U112"/>
  <c r="K112"/>
  <c r="AA111"/>
  <c r="U111"/>
  <c r="K111"/>
  <c r="AA110"/>
  <c r="U110"/>
  <c r="K110"/>
  <c r="AA109"/>
  <c r="U109"/>
  <c r="K109"/>
  <c r="AA108"/>
  <c r="U108"/>
  <c r="K108"/>
  <c r="AA107"/>
  <c r="U107"/>
  <c r="K107"/>
  <c r="AA106"/>
  <c r="U106"/>
  <c r="K106"/>
  <c r="AA105"/>
  <c r="U105"/>
  <c r="K105"/>
  <c r="AA104"/>
  <c r="U104"/>
  <c r="K104"/>
  <c r="AA103"/>
  <c r="U103"/>
  <c r="K103"/>
  <c r="AA102"/>
  <c r="U102"/>
  <c r="K102"/>
  <c r="AA101"/>
  <c r="U101"/>
  <c r="K101"/>
  <c r="AA100"/>
  <c r="U100"/>
  <c r="K100"/>
  <c r="AA99"/>
  <c r="U99"/>
  <c r="K99"/>
  <c r="AA98"/>
  <c r="U98"/>
  <c r="K98"/>
  <c r="AA97"/>
  <c r="U97"/>
  <c r="K97"/>
  <c r="AA96"/>
  <c r="U96"/>
  <c r="K96"/>
  <c r="AA95"/>
  <c r="U95"/>
  <c r="K95"/>
  <c r="AA94"/>
  <c r="U94"/>
  <c r="K94"/>
  <c r="AA93"/>
  <c r="U93"/>
  <c r="K93"/>
  <c r="AA92"/>
  <c r="U92"/>
  <c r="K92"/>
  <c r="AA91"/>
  <c r="U91"/>
  <c r="K91"/>
  <c r="AA90"/>
  <c r="U90"/>
  <c r="K90"/>
  <c r="AA89"/>
  <c r="U89"/>
  <c r="K89"/>
  <c r="AA88"/>
  <c r="U88"/>
  <c r="K88"/>
  <c r="AA87"/>
  <c r="U87"/>
  <c r="K87"/>
  <c r="AA86"/>
  <c r="U86"/>
  <c r="K86"/>
  <c r="AA85"/>
  <c r="U85"/>
  <c r="K85"/>
  <c r="AA84"/>
  <c r="U84"/>
  <c r="K84"/>
  <c r="AA83"/>
  <c r="U83"/>
  <c r="K83"/>
  <c r="AA82"/>
  <c r="U82"/>
  <c r="K82"/>
  <c r="AA81"/>
  <c r="U81"/>
  <c r="K81"/>
  <c r="AA80"/>
  <c r="U80"/>
  <c r="K80"/>
  <c r="AA79"/>
  <c r="U79"/>
  <c r="K79"/>
  <c r="AA78"/>
  <c r="U78"/>
  <c r="K78"/>
  <c r="AA77"/>
  <c r="U77"/>
  <c r="K77"/>
  <c r="AA76"/>
  <c r="U76"/>
  <c r="K76"/>
  <c r="AA75"/>
  <c r="U75"/>
  <c r="K75"/>
  <c r="AA74"/>
  <c r="U74"/>
  <c r="K74"/>
  <c r="AA73"/>
  <c r="U73"/>
  <c r="K73"/>
  <c r="U72"/>
  <c r="K72"/>
  <c r="AA72"/>
  <c r="AA71"/>
  <c r="U71"/>
  <c r="K71"/>
  <c r="AA70"/>
  <c r="K70"/>
  <c r="AA69"/>
  <c r="U69"/>
  <c r="K69"/>
  <c r="AA68"/>
  <c r="U68"/>
  <c r="K68"/>
  <c r="AA67"/>
  <c r="U67"/>
  <c r="K67"/>
  <c r="AA66"/>
  <c r="U66"/>
  <c r="K66"/>
  <c r="AA65"/>
  <c r="U65"/>
  <c r="U64"/>
  <c r="AA64"/>
  <c r="AA63"/>
  <c r="U63"/>
  <c r="AA62"/>
  <c r="U62"/>
  <c r="AA59"/>
  <c r="U59"/>
  <c r="K59"/>
  <c r="AA58"/>
  <c r="U58"/>
  <c r="K58"/>
  <c r="AA57"/>
  <c r="U57"/>
  <c r="K57"/>
  <c r="AA56"/>
  <c r="U56"/>
  <c r="K56"/>
  <c r="AA55"/>
  <c r="U55"/>
  <c r="K55"/>
  <c r="AA54"/>
  <c r="U54"/>
  <c r="K54"/>
  <c r="AA53"/>
  <c r="U53"/>
  <c r="K53"/>
  <c r="AA52"/>
  <c r="U52"/>
  <c r="K52"/>
  <c r="AA51"/>
  <c r="U51"/>
  <c r="K51"/>
  <c r="AA50"/>
  <c r="U50"/>
  <c r="K50"/>
  <c r="AA49"/>
  <c r="U49"/>
  <c r="K49"/>
  <c r="AA48"/>
  <c r="U48"/>
  <c r="K48"/>
  <c r="AA47"/>
  <c r="U47"/>
  <c r="K47"/>
  <c r="AA46"/>
  <c r="U46"/>
  <c r="K46"/>
  <c r="AA45"/>
  <c r="U45"/>
  <c r="K45"/>
  <c r="AA44"/>
  <c r="U44"/>
  <c r="K44"/>
  <c r="AA43"/>
  <c r="U43"/>
  <c r="K43"/>
  <c r="AA42"/>
  <c r="U42"/>
  <c r="K42"/>
  <c r="AA41"/>
  <c r="U41"/>
  <c r="K41"/>
  <c r="AA40"/>
  <c r="U40"/>
  <c r="K40"/>
  <c r="AA39"/>
  <c r="U39"/>
  <c r="K39"/>
  <c r="AA38"/>
  <c r="U38"/>
  <c r="K38"/>
  <c r="AA37"/>
  <c r="U37"/>
  <c r="K37"/>
  <c r="AA36"/>
  <c r="U36"/>
  <c r="K36"/>
  <c r="AA35"/>
  <c r="U35"/>
  <c r="K35"/>
  <c r="AA34"/>
  <c r="U34"/>
  <c r="K34"/>
  <c r="AA28"/>
  <c r="U28"/>
  <c r="K28"/>
  <c r="AA26"/>
  <c r="U26"/>
  <c r="K26"/>
  <c r="AA24"/>
  <c r="U24"/>
  <c r="K24"/>
  <c r="AA33"/>
  <c r="U33"/>
  <c r="K33"/>
  <c r="AA32"/>
  <c r="U32"/>
  <c r="K32"/>
  <c r="AA20"/>
  <c r="U20"/>
  <c r="K20"/>
  <c r="AA31"/>
  <c r="U31"/>
  <c r="K31"/>
  <c r="AA30"/>
  <c r="U30"/>
  <c r="K30"/>
  <c r="AA29"/>
  <c r="U29"/>
  <c r="K29"/>
  <c r="AA27"/>
  <c r="U27"/>
  <c r="K27"/>
  <c r="AA25"/>
  <c r="U25"/>
  <c r="K25"/>
  <c r="AA23"/>
  <c r="U23"/>
  <c r="K23"/>
  <c r="AA21"/>
  <c r="U21"/>
  <c r="K21"/>
  <c r="AA19"/>
  <c r="U19"/>
  <c r="K19"/>
  <c r="AA18"/>
  <c r="U18"/>
  <c r="K18"/>
  <c r="AA17"/>
  <c r="U17"/>
  <c r="K17"/>
  <c r="AA16"/>
  <c r="U16"/>
  <c r="K16"/>
  <c r="AA15"/>
  <c r="U15"/>
  <c r="K15"/>
  <c r="AA14"/>
  <c r="U14"/>
  <c r="K14"/>
  <c r="AA13"/>
  <c r="U13"/>
  <c r="K13"/>
  <c r="AA12"/>
  <c r="U12"/>
  <c r="K12"/>
  <c r="U11"/>
  <c r="K11"/>
  <c r="AE43" i="5" l="1"/>
  <c r="AG43" s="1"/>
  <c r="AK43" s="1"/>
  <c r="AG78"/>
  <c r="AK78" s="1"/>
  <c r="AG44"/>
  <c r="AK44" s="1"/>
  <c r="AG116"/>
  <c r="AK116" s="1"/>
  <c r="AG33"/>
  <c r="AK33" s="1"/>
  <c r="AG24"/>
  <c r="AK24" s="1"/>
  <c r="AG35"/>
  <c r="AK35" s="1"/>
  <c r="AG20"/>
  <c r="AK20" s="1"/>
  <c r="AG19"/>
  <c r="AK19" s="1"/>
  <c r="AE110"/>
  <c r="AG110" s="1"/>
  <c r="AK110" s="1"/>
  <c r="AG29"/>
  <c r="AK29" s="1"/>
  <c r="AG21"/>
  <c r="AK21" s="1"/>
  <c r="AG69"/>
  <c r="AK69" s="1"/>
  <c r="AG27"/>
  <c r="AK27" s="1"/>
  <c r="AG22"/>
  <c r="AK22" s="1"/>
  <c r="AG71"/>
  <c r="AE31"/>
  <c r="AG31" s="1"/>
  <c r="AK31" s="1"/>
  <c r="AG105"/>
  <c r="AK105" s="1"/>
  <c r="AG54"/>
  <c r="AK54" s="1"/>
  <c r="AG66"/>
  <c r="AK66" s="1"/>
  <c r="AG41"/>
  <c r="AK41" s="1"/>
  <c r="AG39"/>
  <c r="AK39" s="1"/>
  <c r="AG37"/>
  <c r="AK37" s="1"/>
  <c r="AG15"/>
  <c r="AK15" s="1"/>
  <c r="AG18"/>
  <c r="AK18" s="1"/>
  <c r="AG80"/>
  <c r="AK80" s="1"/>
  <c r="AG120"/>
  <c r="AK120" s="1"/>
  <c r="AG85"/>
  <c r="AK85" s="1"/>
  <c r="AG86"/>
  <c r="AK86" s="1"/>
  <c r="AG101"/>
  <c r="AK101" s="1"/>
  <c r="AG104"/>
  <c r="AK104" s="1"/>
  <c r="AG106"/>
  <c r="AK106" s="1"/>
  <c r="AG108"/>
  <c r="AK108" s="1"/>
  <c r="AG113"/>
  <c r="AK113" s="1"/>
  <c r="AG115"/>
  <c r="AK115" s="1"/>
  <c r="AK51"/>
  <c r="AG79"/>
  <c r="AK79" s="1"/>
  <c r="AG81"/>
  <c r="AK81" s="1"/>
  <c r="AG83"/>
  <c r="AK83" s="1"/>
  <c r="AG100"/>
  <c r="AK100" s="1"/>
  <c r="AG102"/>
  <c r="AK102" s="1"/>
  <c r="AG107"/>
  <c r="AK107" s="1"/>
  <c r="AG109"/>
  <c r="AK109" s="1"/>
  <c r="AG112"/>
  <c r="AK112" s="1"/>
  <c r="AG114"/>
  <c r="AK114" s="1"/>
  <c r="AG16"/>
  <c r="AK16" s="1"/>
  <c r="AG23"/>
  <c r="AK23" s="1"/>
  <c r="AG36"/>
  <c r="AK36" s="1"/>
  <c r="AG25"/>
  <c r="AK25" s="1"/>
  <c r="AG28"/>
  <c r="AK28" s="1"/>
  <c r="AG30"/>
  <c r="AK30" s="1"/>
  <c r="AG32"/>
  <c r="AK32" s="1"/>
  <c r="AG34"/>
  <c r="AK34" s="1"/>
  <c r="AG38"/>
  <c r="AK38" s="1"/>
  <c r="AG40"/>
  <c r="AK40" s="1"/>
  <c r="AG42"/>
  <c r="AK42" s="1"/>
  <c r="AG62"/>
  <c r="AK62" s="1"/>
  <c r="AG75"/>
  <c r="AK75" s="1"/>
  <c r="AG45"/>
  <c r="AK45" s="1"/>
  <c r="AG49"/>
  <c r="AK49" s="1"/>
  <c r="AG50"/>
  <c r="AK50" s="1"/>
  <c r="AG52"/>
  <c r="AK52" s="1"/>
  <c r="AG56"/>
  <c r="AK56" s="1"/>
  <c r="AG58"/>
  <c r="AK58" s="1"/>
  <c r="AG64"/>
  <c r="AK64" s="1"/>
  <c r="AG68"/>
  <c r="AK68" s="1"/>
  <c r="AG70"/>
  <c r="AK70" s="1"/>
  <c r="AG72"/>
  <c r="AK72" s="1"/>
  <c r="AG77"/>
  <c r="AK77" s="1"/>
  <c r="AK76"/>
  <c r="AK73"/>
  <c r="AK71"/>
  <c r="AK67"/>
  <c r="AK65"/>
  <c r="AK63"/>
  <c r="AK61"/>
  <c r="AK60"/>
  <c r="AK57"/>
  <c r="AK48"/>
  <c r="AK53"/>
  <c r="AC133" i="6"/>
  <c r="AC380"/>
  <c r="AC408"/>
  <c r="AC414"/>
  <c r="AC444"/>
  <c r="AC130"/>
  <c r="AC132"/>
  <c r="AC134"/>
  <c r="AC446"/>
  <c r="AC459"/>
  <c r="AC461"/>
  <c r="AC519"/>
  <c r="AC194"/>
  <c r="AC379"/>
  <c r="AC381"/>
  <c r="AC413"/>
  <c r="AC415"/>
  <c r="AC445"/>
  <c r="AC456"/>
  <c r="AC460"/>
  <c r="AC506"/>
  <c r="AC531"/>
  <c r="AC97"/>
  <c r="AC99"/>
  <c r="AC113"/>
  <c r="AC115"/>
  <c r="AC123"/>
  <c r="AC125"/>
  <c r="AC159"/>
  <c r="AC165"/>
  <c r="AC175"/>
  <c r="AC177"/>
  <c r="AC179"/>
  <c r="AC181"/>
  <c r="AC183"/>
  <c r="AC210"/>
  <c r="AC212"/>
  <c r="AC214"/>
  <c r="AC216"/>
  <c r="AC239"/>
  <c r="AC361"/>
  <c r="AC363"/>
  <c r="AC369"/>
  <c r="AC371"/>
  <c r="AC398"/>
  <c r="AC426"/>
  <c r="AC432"/>
  <c r="AC472"/>
  <c r="AC474"/>
  <c r="AC476"/>
  <c r="AC478"/>
  <c r="AC480"/>
  <c r="AC490"/>
  <c r="AC496"/>
  <c r="AC498"/>
  <c r="AC542"/>
  <c r="AC560"/>
  <c r="AC550"/>
  <c r="AC554"/>
  <c r="AC556"/>
  <c r="AC575"/>
  <c r="AC15"/>
  <c r="AC17"/>
  <c r="AC25"/>
  <c r="AC72"/>
  <c r="AC98"/>
  <c r="AC27"/>
  <c r="AC29"/>
  <c r="AC89"/>
  <c r="AC91"/>
  <c r="AC106"/>
  <c r="AC114"/>
  <c r="AC238"/>
  <c r="AC240"/>
  <c r="AC253"/>
  <c r="AC255"/>
  <c r="AC304"/>
  <c r="AC350"/>
  <c r="AC352"/>
  <c r="AC362"/>
  <c r="AC489"/>
  <c r="AC574"/>
  <c r="AC576"/>
  <c r="AC16"/>
  <c r="AC23"/>
  <c r="AC30"/>
  <c r="AC41"/>
  <c r="AC54"/>
  <c r="AC66"/>
  <c r="AC90"/>
  <c r="AC105"/>
  <c r="AC107"/>
  <c r="AC124"/>
  <c r="AC176"/>
  <c r="AC178"/>
  <c r="AC180"/>
  <c r="AC182"/>
  <c r="AC209"/>
  <c r="AC211"/>
  <c r="AC213"/>
  <c r="AC215"/>
  <c r="AC217"/>
  <c r="AC254"/>
  <c r="AC267"/>
  <c r="AC341"/>
  <c r="AC351"/>
  <c r="AC353"/>
  <c r="AC370"/>
  <c r="AC397"/>
  <c r="AC425"/>
  <c r="AC427"/>
  <c r="AC471"/>
  <c r="AC473"/>
  <c r="AC475"/>
  <c r="AC477"/>
  <c r="AC479"/>
  <c r="AC481"/>
  <c r="AC497"/>
  <c r="AC541"/>
  <c r="AC543"/>
  <c r="AC568"/>
  <c r="AC68"/>
  <c r="AC13"/>
  <c r="AC103"/>
  <c r="AC119"/>
  <c r="AC205"/>
  <c r="AC244"/>
  <c r="AC251"/>
  <c r="AC399"/>
  <c r="AC423"/>
  <c r="AC435"/>
  <c r="AC467"/>
  <c r="AC494"/>
  <c r="AC508"/>
  <c r="AC523"/>
  <c r="AC527"/>
  <c r="AC21"/>
  <c r="AC229"/>
  <c r="AC262"/>
  <c r="AC269"/>
  <c r="AC271"/>
  <c r="AC291"/>
  <c r="AC293"/>
  <c r="AC295"/>
  <c r="AC316"/>
  <c r="AC318"/>
  <c r="AC320"/>
  <c r="AC357"/>
  <c r="AC377"/>
  <c r="AC534"/>
  <c r="AC563"/>
  <c r="AC572"/>
  <c r="AC263"/>
  <c r="AC270"/>
  <c r="AC276"/>
  <c r="AC292"/>
  <c r="AC294"/>
  <c r="AC302"/>
  <c r="AC317"/>
  <c r="AC319"/>
  <c r="AC337"/>
  <c r="AC367"/>
  <c r="AC395"/>
  <c r="AC434"/>
  <c r="AC436"/>
  <c r="AC485"/>
  <c r="AC504"/>
  <c r="AC509"/>
  <c r="AC526"/>
  <c r="AC533"/>
  <c r="AC539"/>
  <c r="AC555"/>
  <c r="AC562"/>
  <c r="AC564"/>
  <c r="AC47"/>
  <c r="AC55"/>
  <c r="AC67"/>
  <c r="AC95"/>
  <c r="AC111"/>
  <c r="AC129"/>
  <c r="AC187"/>
  <c r="AC248"/>
  <c r="AC31"/>
  <c r="AC20"/>
  <c r="AC32"/>
  <c r="AC33"/>
  <c r="AC24"/>
  <c r="AC26"/>
  <c r="AC28"/>
  <c r="AC34"/>
  <c r="AC35"/>
  <c r="AC36"/>
  <c r="AC37"/>
  <c r="AC38"/>
  <c r="AC57"/>
  <c r="AC58"/>
  <c r="AC59"/>
  <c r="AC62"/>
  <c r="AC63"/>
  <c r="AC64"/>
  <c r="AC70"/>
  <c r="AC71"/>
  <c r="AC93"/>
  <c r="AC94"/>
  <c r="AC101"/>
  <c r="AC102"/>
  <c r="AC109"/>
  <c r="AC110"/>
  <c r="AC117"/>
  <c r="AC118"/>
  <c r="AC127"/>
  <c r="AC128"/>
  <c r="AC154"/>
  <c r="AC155"/>
  <c r="AC156"/>
  <c r="AC157"/>
  <c r="AC158"/>
  <c r="AC185"/>
  <c r="AC186"/>
  <c r="AC201"/>
  <c r="AC204"/>
  <c r="AC223"/>
  <c r="AC224"/>
  <c r="AC225"/>
  <c r="AC226"/>
  <c r="AC227"/>
  <c r="AC228"/>
  <c r="AC242"/>
  <c r="AC243"/>
  <c r="AC250"/>
  <c r="AC265"/>
  <c r="AC266"/>
  <c r="AC274"/>
  <c r="AC275"/>
  <c r="AC300"/>
  <c r="AC301"/>
  <c r="AC335"/>
  <c r="AC336"/>
  <c r="AC355"/>
  <c r="AC356"/>
  <c r="AC365"/>
  <c r="AC366"/>
  <c r="AC373"/>
  <c r="AC376"/>
  <c r="AC389"/>
  <c r="AC392"/>
  <c r="AC393"/>
  <c r="AC394"/>
  <c r="AC406"/>
  <c r="AC407"/>
  <c r="AC417"/>
  <c r="AC422"/>
  <c r="AC430"/>
  <c r="AC431"/>
  <c r="AC440"/>
  <c r="AC441"/>
  <c r="AC442"/>
  <c r="AC453"/>
  <c r="AC454"/>
  <c r="U455"/>
  <c r="AC455" s="1"/>
  <c r="AC465"/>
  <c r="AC466"/>
  <c r="AC483"/>
  <c r="AC484"/>
  <c r="AC492"/>
  <c r="AC493"/>
  <c r="AC502"/>
  <c r="AC503"/>
  <c r="AC517"/>
  <c r="AC518"/>
  <c r="AC529"/>
  <c r="AC530"/>
  <c r="AC557"/>
  <c r="AC558"/>
  <c r="AC559"/>
  <c r="AC569"/>
  <c r="AC570"/>
  <c r="AC571"/>
  <c r="AC12"/>
  <c r="AC19"/>
  <c r="AC535"/>
  <c r="AC536"/>
  <c r="AC537"/>
  <c r="AC538"/>
  <c r="AC547"/>
  <c r="AC549"/>
  <c r="AC14"/>
  <c r="AC18"/>
  <c r="AC56"/>
  <c r="AC65"/>
  <c r="AC69"/>
  <c r="AC82"/>
  <c r="AC83"/>
  <c r="AC84"/>
  <c r="AC85"/>
  <c r="AC86"/>
  <c r="AC87"/>
  <c r="AC88"/>
  <c r="AC92"/>
  <c r="AC96"/>
  <c r="AC100"/>
  <c r="AC104"/>
  <c r="AC108"/>
  <c r="AC112"/>
  <c r="AC116"/>
  <c r="AC120"/>
  <c r="AC126"/>
  <c r="AC148"/>
  <c r="AC149"/>
  <c r="AC150"/>
  <c r="AC151"/>
  <c r="AC152"/>
  <c r="AC153"/>
  <c r="AC164"/>
  <c r="AC184"/>
  <c r="AC188"/>
  <c r="AC198"/>
  <c r="AC199"/>
  <c r="AC200"/>
  <c r="AC208"/>
  <c r="AC218"/>
  <c r="AC219"/>
  <c r="AC220"/>
  <c r="AC221"/>
  <c r="AC222"/>
  <c r="AC234"/>
  <c r="AC235"/>
  <c r="AC236"/>
  <c r="AC237"/>
  <c r="AC241"/>
  <c r="AC252"/>
  <c r="AC258"/>
  <c r="AC261"/>
  <c r="AC264"/>
  <c r="AC268"/>
  <c r="AC272"/>
  <c r="AC273"/>
  <c r="AC279"/>
  <c r="AC280"/>
  <c r="AC281"/>
  <c r="AC282"/>
  <c r="AC283"/>
  <c r="AC284"/>
  <c r="AC285"/>
  <c r="AC286"/>
  <c r="AC287"/>
  <c r="AC288"/>
  <c r="AC289"/>
  <c r="AC290"/>
  <c r="AC296"/>
  <c r="AC297"/>
  <c r="AC298"/>
  <c r="AC299"/>
  <c r="AC303"/>
  <c r="AC321"/>
  <c r="AC322"/>
  <c r="AC323"/>
  <c r="AC324"/>
  <c r="AC325"/>
  <c r="AC326"/>
  <c r="AC329"/>
  <c r="AC330"/>
  <c r="AC331"/>
  <c r="AC332"/>
  <c r="AC333"/>
  <c r="AC334"/>
  <c r="AC340"/>
  <c r="AC354"/>
  <c r="AC360"/>
  <c r="AC364"/>
  <c r="AC368"/>
  <c r="AC372"/>
  <c r="AC378"/>
  <c r="AC383"/>
  <c r="AC384"/>
  <c r="AC385"/>
  <c r="AC386"/>
  <c r="AC387"/>
  <c r="AC388"/>
  <c r="AC396"/>
  <c r="AC401"/>
  <c r="AC404"/>
  <c r="AC405"/>
  <c r="AC409"/>
  <c r="AC410"/>
  <c r="AC411"/>
  <c r="AC412"/>
  <c r="AC416"/>
  <c r="AC424"/>
  <c r="AC428"/>
  <c r="AC429"/>
  <c r="AC433"/>
  <c r="AC439"/>
  <c r="AC443"/>
  <c r="AC450"/>
  <c r="AC451"/>
  <c r="AC452"/>
  <c r="AC458"/>
  <c r="AC464"/>
  <c r="AC468"/>
  <c r="AC482"/>
  <c r="AC486"/>
  <c r="AC487"/>
  <c r="AC488"/>
  <c r="AC491"/>
  <c r="AC495"/>
  <c r="AC499"/>
  <c r="AC500"/>
  <c r="AC501"/>
  <c r="AC505"/>
  <c r="AC510"/>
  <c r="AC511"/>
  <c r="AC512"/>
  <c r="AC513"/>
  <c r="AC514"/>
  <c r="AC515"/>
  <c r="AC516"/>
  <c r="AC520"/>
  <c r="AC521"/>
  <c r="AC522"/>
  <c r="AC528"/>
  <c r="AC532"/>
  <c r="AC540"/>
  <c r="AC546"/>
  <c r="AC553"/>
  <c r="AC561"/>
  <c r="AC565"/>
  <c r="AC566"/>
  <c r="AC567"/>
  <c r="AC573"/>
  <c r="AC39"/>
  <c r="AC40"/>
  <c r="AC42"/>
  <c r="AC43"/>
  <c r="AC44"/>
  <c r="AC45"/>
  <c r="AC46"/>
  <c r="AC48"/>
  <c r="AC49"/>
  <c r="AC50"/>
  <c r="AC51"/>
  <c r="AC52"/>
  <c r="AC53"/>
  <c r="AC73"/>
  <c r="AC74"/>
  <c r="AC75"/>
  <c r="AC76"/>
  <c r="AC77"/>
  <c r="AC78"/>
  <c r="AC79"/>
  <c r="AC80"/>
  <c r="AC81"/>
  <c r="AC135"/>
  <c r="AC136"/>
  <c r="AC137"/>
  <c r="AC138"/>
  <c r="AC139"/>
  <c r="AC140"/>
  <c r="AC141"/>
  <c r="AC142"/>
  <c r="AC143"/>
  <c r="AC144"/>
  <c r="AC145"/>
  <c r="AC146"/>
  <c r="AC147"/>
  <c r="AC160"/>
  <c r="AC161"/>
  <c r="AC162"/>
  <c r="AC163"/>
  <c r="AC166"/>
  <c r="AC167"/>
  <c r="AC168"/>
  <c r="AC169"/>
  <c r="AC170"/>
  <c r="AC171"/>
  <c r="AC173"/>
  <c r="AC174"/>
  <c r="AC192"/>
  <c r="AC193"/>
  <c r="AC196"/>
  <c r="AC197"/>
  <c r="AC202"/>
  <c r="AC203"/>
  <c r="AC206"/>
  <c r="AC207"/>
  <c r="AC230"/>
  <c r="AC231"/>
  <c r="AC232"/>
  <c r="AC233"/>
  <c r="AC245"/>
  <c r="AC246"/>
  <c r="AC247"/>
  <c r="AC256"/>
  <c r="AC257"/>
  <c r="AC277"/>
  <c r="AC278"/>
  <c r="AC305"/>
  <c r="AC306"/>
  <c r="AC307"/>
  <c r="AC308"/>
  <c r="AC309"/>
  <c r="AC310"/>
  <c r="AC311"/>
  <c r="AC312"/>
  <c r="AC313"/>
  <c r="AC314"/>
  <c r="AC315"/>
  <c r="AC338"/>
  <c r="AC339"/>
  <c r="AC342"/>
  <c r="AC343"/>
  <c r="AC344"/>
  <c r="AC345"/>
  <c r="AC346"/>
  <c r="AC347"/>
  <c r="AC348"/>
  <c r="AC349"/>
  <c r="AC358"/>
  <c r="AC359"/>
  <c r="AC374"/>
  <c r="AC375"/>
  <c r="AC382"/>
  <c r="AC390"/>
  <c r="AC391"/>
  <c r="AC400"/>
  <c r="AC418"/>
  <c r="AC419"/>
  <c r="AC420"/>
  <c r="AC421"/>
  <c r="AC437"/>
  <c r="AC438"/>
  <c r="AC447"/>
  <c r="AC448"/>
  <c r="AC449"/>
  <c r="AC457"/>
  <c r="AC462"/>
  <c r="AC463"/>
  <c r="AC507"/>
  <c r="AC524"/>
  <c r="AC525"/>
  <c r="AC548"/>
  <c r="AC551"/>
  <c r="AC552"/>
  <c r="AC172"/>
  <c r="AA233"/>
  <c r="K249"/>
  <c r="AF258" i="3"/>
  <c r="AF182"/>
  <c r="AF59"/>
  <c r="AF284"/>
  <c r="AF206"/>
  <c r="AF174"/>
  <c r="AF171"/>
  <c r="AF143"/>
  <c r="AF203"/>
  <c r="AF61"/>
  <c r="AF128"/>
  <c r="AF47"/>
  <c r="AF154"/>
  <c r="AF65"/>
  <c r="AF170"/>
  <c r="AF157"/>
  <c r="AF137"/>
  <c r="AF220"/>
  <c r="AF202"/>
  <c r="AF52"/>
  <c r="AF135"/>
  <c r="AF299"/>
  <c r="AF109"/>
  <c r="AF188"/>
  <c r="AF185"/>
  <c r="AF133"/>
  <c r="AF45"/>
  <c r="AF66"/>
  <c r="AF180"/>
  <c r="AF193"/>
  <c r="AF212"/>
  <c r="AF123"/>
  <c r="AF24"/>
  <c r="AF214"/>
  <c r="AF127"/>
  <c r="AF22"/>
  <c r="AF290"/>
  <c r="AF221"/>
  <c r="AF268"/>
  <c r="AF230"/>
  <c r="AF172"/>
  <c r="AF23"/>
  <c r="AF51"/>
  <c r="AF283"/>
  <c r="AF205"/>
  <c r="AF78"/>
  <c r="AF223"/>
  <c r="AF246"/>
  <c r="AF69"/>
  <c r="AF296"/>
  <c r="AF116"/>
  <c r="AF83"/>
  <c r="AF106"/>
  <c r="AF72"/>
  <c r="AF287"/>
  <c r="AF67"/>
  <c r="AF294"/>
  <c r="AF252"/>
  <c r="AF199"/>
  <c r="AF178"/>
  <c r="AF56"/>
  <c r="AF48"/>
  <c r="AF262"/>
  <c r="AF169"/>
  <c r="AF35"/>
  <c r="AF263"/>
  <c r="AF31"/>
  <c r="AF197"/>
  <c r="AF247"/>
  <c r="AF138"/>
  <c r="AF121"/>
  <c r="AF118"/>
  <c r="AF112"/>
  <c r="AF77"/>
  <c r="AH259" i="4"/>
  <c r="AH216"/>
  <c r="AH183"/>
  <c r="AH82"/>
  <c r="AH60"/>
  <c r="AH188"/>
  <c r="AH207"/>
  <c r="AH175"/>
  <c r="AH172"/>
  <c r="AH144"/>
  <c r="AH62"/>
  <c r="AH129"/>
  <c r="AH34"/>
  <c r="AH187"/>
  <c r="AH176"/>
  <c r="AH155"/>
  <c r="AH158"/>
  <c r="AH138"/>
  <c r="AH220"/>
  <c r="AH203"/>
  <c r="AH53"/>
  <c r="AH136"/>
  <c r="AH300"/>
  <c r="AH110"/>
  <c r="AH189"/>
  <c r="AH186"/>
  <c r="AH134"/>
  <c r="AH249"/>
  <c r="AH67"/>
  <c r="AH181"/>
  <c r="AH226"/>
  <c r="AH213"/>
  <c r="AH124"/>
  <c r="AH25"/>
  <c r="AH215"/>
  <c r="AH128"/>
  <c r="AH23"/>
  <c r="AH291"/>
  <c r="AH222"/>
  <c r="AH269"/>
  <c r="AH135"/>
  <c r="AH125"/>
  <c r="AH231"/>
  <c r="AH246"/>
  <c r="AH104"/>
  <c r="AH52"/>
  <c r="AH284"/>
  <c r="AH206"/>
  <c r="AH79"/>
  <c r="AH224"/>
  <c r="AH247"/>
  <c r="AH298"/>
  <c r="AH297"/>
  <c r="AH117"/>
  <c r="AH84"/>
  <c r="AH107"/>
  <c r="AH73"/>
  <c r="AH288"/>
  <c r="AH145"/>
  <c r="AH68"/>
  <c r="AH295"/>
  <c r="AH253"/>
  <c r="AH200"/>
  <c r="AH254"/>
  <c r="AH179"/>
  <c r="AH57"/>
  <c r="AH49"/>
  <c r="AH263"/>
  <c r="AH170"/>
  <c r="AH36"/>
  <c r="AH264"/>
  <c r="AH32"/>
  <c r="AH198"/>
  <c r="AH248"/>
  <c r="AH139"/>
  <c r="AH122"/>
  <c r="AH119"/>
  <c r="AH113"/>
  <c r="AH31"/>
  <c r="AH78"/>
  <c r="AH44"/>
  <c r="AF180" i="2"/>
  <c r="AF59"/>
  <c r="AF281"/>
  <c r="AF215"/>
  <c r="AF204"/>
  <c r="AF172"/>
  <c r="AF160"/>
  <c r="AF201"/>
  <c r="AF17"/>
  <c r="AF61"/>
  <c r="AF184"/>
  <c r="AF217"/>
  <c r="AF200"/>
  <c r="AF296"/>
  <c r="AF108"/>
  <c r="AF186"/>
  <c r="AF183"/>
  <c r="AF132"/>
  <c r="AF236"/>
  <c r="AF178"/>
  <c r="AF191"/>
  <c r="AF22"/>
  <c r="AF265"/>
  <c r="AF228"/>
  <c r="AF44"/>
  <c r="AF221"/>
  <c r="AF83"/>
  <c r="AF105"/>
  <c r="AF72"/>
  <c r="AF284"/>
  <c r="AF143"/>
  <c r="AF67"/>
  <c r="AF249"/>
  <c r="AF197"/>
  <c r="AF250"/>
  <c r="AF176"/>
  <c r="AF56"/>
  <c r="AF48"/>
  <c r="AF259"/>
  <c r="AF158"/>
  <c r="AF35"/>
  <c r="AF260"/>
  <c r="AF31"/>
  <c r="AF195"/>
  <c r="AF235"/>
  <c r="AF137"/>
  <c r="AF120"/>
  <c r="AF117"/>
  <c r="AF111"/>
  <c r="AF30"/>
  <c r="AH291" i="1"/>
  <c r="AH290"/>
  <c r="AH289"/>
  <c r="AH282"/>
  <c r="AH280"/>
  <c r="AH279"/>
  <c r="AH278"/>
  <c r="AH10"/>
  <c r="AH276"/>
  <c r="AH275"/>
  <c r="AH274"/>
  <c r="AH273"/>
  <c r="AH272"/>
  <c r="AH271"/>
  <c r="AH267"/>
  <c r="AH264"/>
  <c r="AH263"/>
  <c r="AH262"/>
  <c r="AH259"/>
  <c r="AH258"/>
  <c r="AH257"/>
  <c r="AH254"/>
  <c r="AH253"/>
  <c r="AH252"/>
  <c r="AH249"/>
  <c r="AH247"/>
  <c r="AH233"/>
  <c r="AH232"/>
  <c r="AH228"/>
  <c r="AH227"/>
  <c r="AH226"/>
  <c r="AH225"/>
  <c r="AH221"/>
  <c r="AH219"/>
  <c r="AH215"/>
  <c r="AH212"/>
  <c r="AH210"/>
  <c r="AH209"/>
  <c r="AH207"/>
  <c r="AH206"/>
  <c r="AH203"/>
  <c r="AH12"/>
  <c r="AH197"/>
  <c r="AH195"/>
  <c r="AH193"/>
  <c r="AH191"/>
  <c r="AH190"/>
  <c r="AH189"/>
  <c r="AH188"/>
  <c r="AH182"/>
  <c r="AH178"/>
  <c r="AH176"/>
  <c r="AH172"/>
  <c r="AH158"/>
  <c r="AH156"/>
  <c r="AH155"/>
  <c r="AH14"/>
  <c r="AH153"/>
  <c r="AH151"/>
  <c r="AH150"/>
  <c r="AH149"/>
  <c r="AH148"/>
  <c r="AH142"/>
  <c r="AH141"/>
  <c r="AH15"/>
  <c r="AH11"/>
  <c r="AH132"/>
  <c r="AH13"/>
  <c r="AH129"/>
  <c r="AH128"/>
  <c r="AH124"/>
  <c r="AH121"/>
  <c r="AH119"/>
  <c r="AH18"/>
  <c r="AH118"/>
  <c r="AH116"/>
  <c r="AH114"/>
  <c r="AH113"/>
  <c r="AH112"/>
  <c r="AH106"/>
  <c r="AH103"/>
  <c r="AH130"/>
  <c r="AH100"/>
  <c r="AH269"/>
  <c r="AH97"/>
  <c r="AH96"/>
  <c r="AH17"/>
  <c r="AH82"/>
  <c r="AH80"/>
  <c r="AH79"/>
  <c r="AH76"/>
  <c r="AH75"/>
  <c r="AH74"/>
  <c r="AH71"/>
  <c r="AH70"/>
  <c r="AH68"/>
  <c r="AH63"/>
  <c r="AH9"/>
  <c r="AH62"/>
  <c r="AH293"/>
  <c r="AH296"/>
  <c r="AH60"/>
  <c r="AH20"/>
  <c r="AH210" i="4"/>
  <c r="AF290" i="2"/>
  <c r="AF16"/>
  <c r="AH16" i="1"/>
  <c r="AF276" i="3"/>
  <c r="AF273" i="2"/>
  <c r="AH277" i="4"/>
  <c r="AF275" i="3"/>
  <c r="AF272" i="2"/>
  <c r="AH276" i="4"/>
  <c r="AF273" i="3"/>
  <c r="AF270" i="2"/>
  <c r="AF263"/>
  <c r="AF264" i="3"/>
  <c r="AF261" i="2"/>
  <c r="AF260" i="3"/>
  <c r="AF257" i="2"/>
  <c r="AH261" i="4"/>
  <c r="AH260"/>
  <c r="AH256"/>
  <c r="AF250" i="3"/>
  <c r="AF247" i="2"/>
  <c r="AH248" i="1"/>
  <c r="AH230" i="4"/>
  <c r="AF225" i="2"/>
  <c r="AH229" i="4"/>
  <c r="AH228"/>
  <c r="AF228" i="3"/>
  <c r="AF227"/>
  <c r="AF16"/>
  <c r="AH214" i="4"/>
  <c r="AH209"/>
  <c r="AF200" i="3"/>
  <c r="AF198" i="2"/>
  <c r="AH199" i="1"/>
  <c r="AF12" i="3"/>
  <c r="AF198"/>
  <c r="AF196" i="2"/>
  <c r="AH199" i="4"/>
  <c r="AF196" i="3"/>
  <c r="AH197" i="4"/>
  <c r="AF195" i="3"/>
  <c r="AF193" i="2"/>
  <c r="AH196" i="4"/>
  <c r="AH194" i="1"/>
  <c r="AF192" i="3"/>
  <c r="AH193" i="4"/>
  <c r="AF190" i="3"/>
  <c r="AH191" i="4"/>
  <c r="AF183" i="3"/>
  <c r="AF181" i="2"/>
  <c r="AF177" i="3"/>
  <c r="AF175" i="2"/>
  <c r="AH178" i="4"/>
  <c r="AF141" i="3"/>
  <c r="AF140" i="2"/>
  <c r="AH142" i="4"/>
  <c r="AF136" i="3"/>
  <c r="AH137" i="4"/>
  <c r="AH136" i="1"/>
  <c r="AH133" i="4"/>
  <c r="AH123"/>
  <c r="AF120" i="3"/>
  <c r="AH120" i="4"/>
  <c r="AF114" i="2"/>
  <c r="AH289" i="4"/>
  <c r="AH109"/>
  <c r="AH107" i="1"/>
  <c r="AH97" i="4"/>
  <c r="AH95" i="1"/>
  <c r="AO106" i="2"/>
  <c r="AF74"/>
  <c r="AH73" i="1"/>
  <c r="AH10" i="4"/>
  <c r="AF9" i="3"/>
  <c r="AF9" i="2"/>
  <c r="AF64"/>
  <c r="AH65" i="4"/>
  <c r="AH64" i="1"/>
  <c r="AF62" i="3"/>
  <c r="AF62" i="2"/>
  <c r="AH63" i="4"/>
  <c r="AF55" i="2"/>
  <c r="AF50" i="3"/>
  <c r="AF50" i="2"/>
  <c r="AF37"/>
  <c r="AF29"/>
  <c r="AH29" i="1"/>
  <c r="AF21" i="3"/>
  <c r="AF21" i="2"/>
  <c r="AH70" i="4"/>
  <c r="AF69" i="2"/>
  <c r="AF33"/>
  <c r="AF33" i="3"/>
  <c r="AF194"/>
  <c r="AF191"/>
  <c r="AF189"/>
  <c r="AF18"/>
  <c r="AF187"/>
  <c r="AF186"/>
  <c r="AF184"/>
  <c r="AF179"/>
  <c r="AF176"/>
  <c r="AF175"/>
  <c r="AH195" i="4"/>
  <c r="AH194"/>
  <c r="AH192"/>
  <c r="AH190"/>
  <c r="AH19"/>
  <c r="AH185"/>
  <c r="AH184"/>
  <c r="AH105"/>
  <c r="AH180"/>
  <c r="AH177"/>
  <c r="AF192" i="2"/>
  <c r="AF190"/>
  <c r="AF189"/>
  <c r="AF188"/>
  <c r="AF187"/>
  <c r="AF18"/>
  <c r="AF185"/>
  <c r="AF182"/>
  <c r="AF177"/>
  <c r="AF174"/>
  <c r="AF173"/>
  <c r="AF173" i="3"/>
  <c r="AF168"/>
  <c r="AF156"/>
  <c r="AF155"/>
  <c r="AF153"/>
  <c r="AF152"/>
  <c r="AF151"/>
  <c r="AF150"/>
  <c r="AF149"/>
  <c r="AF148"/>
  <c r="AF146"/>
  <c r="AF145"/>
  <c r="AF144"/>
  <c r="AF142"/>
  <c r="AF140"/>
  <c r="AF139"/>
  <c r="AF134"/>
  <c r="AF132"/>
  <c r="AF131"/>
  <c r="AF130"/>
  <c r="AF129"/>
  <c r="AF126"/>
  <c r="AF125"/>
  <c r="AF124"/>
  <c r="AF122"/>
  <c r="AF119"/>
  <c r="AH174" i="4"/>
  <c r="AH173"/>
  <c r="AH171"/>
  <c r="AH159"/>
  <c r="AH157"/>
  <c r="AH156"/>
  <c r="AH154"/>
  <c r="AH153"/>
  <c r="AH152"/>
  <c r="AH151"/>
  <c r="AH150"/>
  <c r="AH149"/>
  <c r="AH147"/>
  <c r="AH146"/>
  <c r="AH143"/>
  <c r="AH141"/>
  <c r="AH140"/>
  <c r="AH132"/>
  <c r="AH131"/>
  <c r="AH130"/>
  <c r="AH127"/>
  <c r="AH126"/>
  <c r="AH121"/>
  <c r="AF171" i="2"/>
  <c r="AF161"/>
  <c r="AF159"/>
  <c r="AF157"/>
  <c r="AF156"/>
  <c r="AF155"/>
  <c r="AF154"/>
  <c r="AF153"/>
  <c r="AF152"/>
  <c r="AF150"/>
  <c r="AF149"/>
  <c r="AF148"/>
  <c r="AF147"/>
  <c r="AF145"/>
  <c r="AF144"/>
  <c r="AF142"/>
  <c r="AF141"/>
  <c r="AF139"/>
  <c r="AF138"/>
  <c r="AF136"/>
  <c r="AF134"/>
  <c r="AF133"/>
  <c r="AF131"/>
  <c r="AF130"/>
  <c r="AF129"/>
  <c r="AF128"/>
  <c r="AF127"/>
  <c r="AF126"/>
  <c r="AF125"/>
  <c r="AF124"/>
  <c r="AF123"/>
  <c r="AF122"/>
  <c r="AF121"/>
  <c r="AF119"/>
  <c r="AF118"/>
  <c r="AF19"/>
  <c r="AF117" i="3"/>
  <c r="AF115"/>
  <c r="AF114"/>
  <c r="AF111"/>
  <c r="AF17"/>
  <c r="AF110"/>
  <c r="AF108"/>
  <c r="AF107"/>
  <c r="AF105"/>
  <c r="AF104"/>
  <c r="AF103"/>
  <c r="AF224"/>
  <c r="AF102"/>
  <c r="AF101"/>
  <c r="AF271"/>
  <c r="AF99"/>
  <c r="AF98"/>
  <c r="AF97"/>
  <c r="AF96"/>
  <c r="AF95"/>
  <c r="AF82"/>
  <c r="AF81"/>
  <c r="AF80"/>
  <c r="AF79"/>
  <c r="AF76"/>
  <c r="AF75"/>
  <c r="AF74"/>
  <c r="AF73"/>
  <c r="AF71"/>
  <c r="AF70"/>
  <c r="AF68"/>
  <c r="AF64"/>
  <c r="AF63"/>
  <c r="AF60"/>
  <c r="AF58"/>
  <c r="AF57"/>
  <c r="AF55"/>
  <c r="AF54"/>
  <c r="AF53"/>
  <c r="AF49"/>
  <c r="AF44"/>
  <c r="AF43"/>
  <c r="AF42"/>
  <c r="AF41"/>
  <c r="AF40"/>
  <c r="AF39"/>
  <c r="AF38"/>
  <c r="AF37"/>
  <c r="AF36"/>
  <c r="AF34"/>
  <c r="AF32"/>
  <c r="AF30"/>
  <c r="AF29"/>
  <c r="AF28"/>
  <c r="AF27"/>
  <c r="AF26"/>
  <c r="AF25"/>
  <c r="AF20"/>
  <c r="AF19"/>
  <c r="AH118" i="4"/>
  <c r="AH116"/>
  <c r="AH115"/>
  <c r="AH112"/>
  <c r="AH18"/>
  <c r="AH111"/>
  <c r="AH108"/>
  <c r="AH106"/>
  <c r="AH225"/>
  <c r="AH103"/>
  <c r="AH102"/>
  <c r="AH272"/>
  <c r="AH100"/>
  <c r="AH99"/>
  <c r="AH98"/>
  <c r="AH96"/>
  <c r="AH83"/>
  <c r="AH81"/>
  <c r="AH80"/>
  <c r="AH77"/>
  <c r="AH76"/>
  <c r="AH75"/>
  <c r="AH74"/>
  <c r="AH72"/>
  <c r="AH71"/>
  <c r="AH69"/>
  <c r="AH66"/>
  <c r="AH64"/>
  <c r="AH61"/>
  <c r="AH59"/>
  <c r="AH58"/>
  <c r="AH95"/>
  <c r="AH55"/>
  <c r="AH54"/>
  <c r="AH50"/>
  <c r="AH48"/>
  <c r="AH46"/>
  <c r="AH45"/>
  <c r="AH43"/>
  <c r="AH42"/>
  <c r="AH41"/>
  <c r="AH40"/>
  <c r="AH39"/>
  <c r="AH38"/>
  <c r="AH37"/>
  <c r="AH35"/>
  <c r="AH33"/>
  <c r="AH30"/>
  <c r="AH29"/>
  <c r="AH28"/>
  <c r="AH27"/>
  <c r="AH26"/>
  <c r="AH24"/>
  <c r="AH21"/>
  <c r="AH20"/>
  <c r="AF116" i="2"/>
  <c r="AF115"/>
  <c r="AF113"/>
  <c r="AF285"/>
  <c r="AF110"/>
  <c r="AF109"/>
  <c r="AF107"/>
  <c r="AF106"/>
  <c r="AF104"/>
  <c r="AF103"/>
  <c r="AF102"/>
  <c r="AF222"/>
  <c r="AF101"/>
  <c r="AF100"/>
  <c r="AF268"/>
  <c r="AF98"/>
  <c r="AF97"/>
  <c r="AF96"/>
  <c r="AF86"/>
  <c r="AF85"/>
  <c r="AF82"/>
  <c r="AF81"/>
  <c r="AF80"/>
  <c r="AF79"/>
  <c r="AF78"/>
  <c r="AF77"/>
  <c r="AF76"/>
  <c r="AF75"/>
  <c r="AF73"/>
  <c r="AF71"/>
  <c r="AF70"/>
  <c r="AF68"/>
  <c r="AF66"/>
  <c r="AF65"/>
  <c r="AF63"/>
  <c r="AF60"/>
  <c r="AF58"/>
  <c r="AF57"/>
  <c r="AF84"/>
  <c r="AF54"/>
  <c r="AF53"/>
  <c r="AF52"/>
  <c r="AF51"/>
  <c r="AF49"/>
  <c r="AF47"/>
  <c r="AF45"/>
  <c r="AF43"/>
  <c r="AF42"/>
  <c r="AF41"/>
  <c r="AF40"/>
  <c r="AF39"/>
  <c r="AF38"/>
  <c r="AF36"/>
  <c r="AF34"/>
  <c r="AF32"/>
  <c r="AF28"/>
  <c r="AF27"/>
  <c r="AF26"/>
  <c r="AF25"/>
  <c r="AF24"/>
  <c r="AF23"/>
  <c r="AH58" i="1"/>
  <c r="AH57"/>
  <c r="AH55"/>
  <c r="AH84"/>
  <c r="AH54"/>
  <c r="AH49"/>
  <c r="AH41"/>
  <c r="AH40"/>
  <c r="AH39"/>
  <c r="AH38"/>
  <c r="AH37"/>
  <c r="AH36"/>
  <c r="AH34"/>
  <c r="AH32"/>
  <c r="AH26"/>
  <c r="AH25"/>
  <c r="AF298" i="3"/>
  <c r="AF297"/>
  <c r="AF295"/>
  <c r="AF293"/>
  <c r="AF292"/>
  <c r="AF291"/>
  <c r="AF289"/>
  <c r="AF286"/>
  <c r="AF285"/>
  <c r="AF282"/>
  <c r="AF281"/>
  <c r="AF280"/>
  <c r="AF279"/>
  <c r="AF10"/>
  <c r="AF278"/>
  <c r="AF277"/>
  <c r="AF274"/>
  <c r="AF272"/>
  <c r="AF269"/>
  <c r="AF267"/>
  <c r="AF266"/>
  <c r="AF265"/>
  <c r="AF261"/>
  <c r="AF14"/>
  <c r="AF259"/>
  <c r="AF257"/>
  <c r="AF256"/>
  <c r="AF255"/>
  <c r="AF254"/>
  <c r="AF253"/>
  <c r="AF251"/>
  <c r="AF249"/>
  <c r="AF248"/>
  <c r="AF245"/>
  <c r="AF244"/>
  <c r="AF243"/>
  <c r="AF242"/>
  <c r="AF229"/>
  <c r="AF226"/>
  <c r="AF225"/>
  <c r="AF219"/>
  <c r="AF218"/>
  <c r="AF217"/>
  <c r="AF15"/>
  <c r="AF216"/>
  <c r="AF215"/>
  <c r="AF213"/>
  <c r="AF11"/>
  <c r="AF211"/>
  <c r="AF210"/>
  <c r="AF209"/>
  <c r="AF208"/>
  <c r="AF207"/>
  <c r="AF13"/>
  <c r="AF204"/>
  <c r="AF201"/>
  <c r="AH299" i="4"/>
  <c r="AH296"/>
  <c r="AH294"/>
  <c r="AH293"/>
  <c r="AH292"/>
  <c r="AH290"/>
  <c r="AH287"/>
  <c r="AH286"/>
  <c r="AH285"/>
  <c r="AH283"/>
  <c r="AH282"/>
  <c r="AH281"/>
  <c r="AH280"/>
  <c r="AH11"/>
  <c r="AH279"/>
  <c r="AH278"/>
  <c r="AH274"/>
  <c r="AH275"/>
  <c r="AH273"/>
  <c r="AH270"/>
  <c r="AH268"/>
  <c r="AH267"/>
  <c r="AH266"/>
  <c r="AH265"/>
  <c r="AH262"/>
  <c r="AH15"/>
  <c r="AH258"/>
  <c r="AH257"/>
  <c r="AH255"/>
  <c r="AH252"/>
  <c r="AH251"/>
  <c r="AH250"/>
  <c r="AH245"/>
  <c r="AH234"/>
  <c r="AH233"/>
  <c r="AH227"/>
  <c r="AH17"/>
  <c r="AH221"/>
  <c r="AH219"/>
  <c r="AH218"/>
  <c r="AH16"/>
  <c r="AH217"/>
  <c r="AH12"/>
  <c r="AH212"/>
  <c r="AH211"/>
  <c r="AH208"/>
  <c r="AH14"/>
  <c r="AH205"/>
  <c r="AH204"/>
  <c r="AH13"/>
  <c r="AH202"/>
  <c r="AF295" i="2"/>
  <c r="AF294"/>
  <c r="AF293"/>
  <c r="AF292"/>
  <c r="AF291"/>
  <c r="AF289"/>
  <c r="AF288"/>
  <c r="AF286"/>
  <c r="AF283"/>
  <c r="AF282"/>
  <c r="AF280"/>
  <c r="AF279"/>
  <c r="AF278"/>
  <c r="AF277"/>
  <c r="AF276"/>
  <c r="AF10"/>
  <c r="AF275"/>
  <c r="AF274"/>
  <c r="AF271"/>
  <c r="AF269"/>
  <c r="AF266"/>
  <c r="AF264"/>
  <c r="AF262"/>
  <c r="AF258"/>
  <c r="AF14"/>
  <c r="AF256"/>
  <c r="AF255"/>
  <c r="AF254"/>
  <c r="AF253"/>
  <c r="AF252"/>
  <c r="AF251"/>
  <c r="AF248"/>
  <c r="AF246"/>
  <c r="AF234"/>
  <c r="AF233"/>
  <c r="AF232"/>
  <c r="AF231"/>
  <c r="AF230"/>
  <c r="AF227"/>
  <c r="AF226"/>
  <c r="AF224"/>
  <c r="AF223"/>
  <c r="AF220"/>
  <c r="AF219"/>
  <c r="AF218"/>
  <c r="AF216"/>
  <c r="AF15"/>
  <c r="AF214"/>
  <c r="AF213"/>
  <c r="AF212"/>
  <c r="AF211"/>
  <c r="AF11"/>
  <c r="AF210"/>
  <c r="AF209"/>
  <c r="AF208"/>
  <c r="AF207"/>
  <c r="AF206"/>
  <c r="AF205"/>
  <c r="AF203"/>
  <c r="AF13"/>
  <c r="AF202"/>
  <c r="AF12"/>
  <c r="AF199"/>
  <c r="AF194"/>
  <c r="AF288" i="3"/>
  <c r="AF94"/>
  <c r="AH51" i="4"/>
  <c r="AH50" i="1"/>
  <c r="AH22" i="4"/>
  <c r="AH201"/>
  <c r="AF135" i="2"/>
  <c r="AA249" i="6" l="1"/>
  <c r="AC249"/>
</calcChain>
</file>

<file path=xl/sharedStrings.xml><?xml version="1.0" encoding="utf-8"?>
<sst xmlns="http://schemas.openxmlformats.org/spreadsheetml/2006/main" count="3296" uniqueCount="620">
  <si>
    <t>Other</t>
  </si>
  <si>
    <t>Miscellaneous</t>
  </si>
  <si>
    <t>Salaries</t>
  </si>
  <si>
    <t>Employee Fringe Benefits</t>
  </si>
  <si>
    <t>Supplies</t>
  </si>
  <si>
    <t>Entity Name</t>
  </si>
  <si>
    <t>County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</si>
  <si>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</si>
  <si>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</si>
  <si>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</si>
  <si>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</si>
  <si>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</si>
  <si>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</si>
  <si>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</si>
  <si>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</si>
  <si>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</si>
  <si>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</si>
  <si>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</si>
  <si>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</si>
  <si>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</si>
  <si>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</si>
  <si>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</si>
  <si>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</si>
  <si>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</si>
  <si>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</si>
  <si>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</si>
  <si>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</si>
  <si>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</si>
  <si>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</si>
  <si>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</si>
  <si>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</si>
  <si>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</si>
  <si>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</si>
  <si>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Brown County Public Library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</si>
  <si>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</si>
  <si>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</si>
  <si>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</si>
  <si>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</si>
  <si>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</si>
  <si>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</si>
  <si>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</si>
  <si>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</si>
  <si>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</si>
  <si>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</si>
  <si>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</si>
  <si>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</si>
  <si>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</si>
  <si>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</si>
  <si>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</si>
  <si>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</si>
  <si>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</si>
  <si>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</si>
  <si>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</si>
  <si>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</si>
  <si>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</si>
  <si>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</si>
  <si>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</si>
  <si>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</si>
  <si>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</si>
  <si>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</si>
  <si>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</si>
  <si>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</si>
  <si>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</si>
  <si>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</si>
  <si>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</si>
  <si>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</si>
  <si>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</si>
  <si>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</si>
  <si>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</si>
  <si>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</si>
  <si>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</si>
  <si>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</si>
  <si>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</si>
  <si>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</si>
  <si>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</si>
  <si>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</si>
  <si>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</si>
  <si>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</si>
  <si>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</si>
  <si>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</si>
  <si>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</si>
  <si>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</si>
  <si>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>Ashland Public Library</t>
  </si>
  <si>
    <t>Ashland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</si>
  <si>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</si>
  <si>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</si>
  <si>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</si>
  <si>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</si>
  <si>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</si>
  <si>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</si>
  <si>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</si>
  <si>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</si>
  <si>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</si>
  <si>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</si>
  <si>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</si>
  <si>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</si>
  <si>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</si>
  <si>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>Allen</t>
  </si>
  <si>
    <t xml:space="preserve">Bowerston Library </t>
  </si>
  <si>
    <t xml:space="preserve">Bradford Public Library 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</si>
  <si>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</si>
  <si>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</si>
  <si>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</si>
  <si>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</si>
  <si>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</si>
  <si>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</si>
  <si>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</si>
  <si>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</si>
  <si>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</si>
  <si>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</si>
  <si>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</si>
  <si>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>Centerburg Public Library</t>
  </si>
  <si>
    <t xml:space="preserve">Chillicothe &amp; Ross Cty. Public Library </t>
  </si>
  <si>
    <t>Clark County Public Library</t>
  </si>
  <si>
    <t>Clark</t>
  </si>
  <si>
    <t>Clermont County Public Library</t>
  </si>
  <si>
    <t>Clermont</t>
  </si>
  <si>
    <t>Clyde Public Library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</si>
  <si>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</si>
  <si>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</si>
  <si>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</si>
  <si>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</si>
  <si>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</si>
  <si>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>Cuyahoga Co. Public Library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</si>
  <si>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</si>
  <si>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</si>
  <si>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</si>
  <si>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</si>
  <si>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</si>
  <si>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</si>
  <si>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</si>
  <si>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</si>
  <si>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</si>
  <si>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</si>
  <si>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</si>
  <si>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</si>
  <si>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</si>
  <si>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Fairport Harbor Public Library</t>
  </si>
  <si>
    <t>Findlay-Hancock Co. Public Library</t>
  </si>
  <si>
    <t>Hancock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</si>
  <si>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</si>
  <si>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</si>
  <si>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</si>
  <si>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</si>
  <si>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</si>
  <si>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</si>
  <si>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</si>
  <si>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</si>
  <si>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</si>
  <si>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</si>
  <si>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</si>
  <si>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</si>
  <si>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</si>
  <si>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</si>
  <si>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</si>
  <si>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</si>
  <si>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</si>
  <si>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</si>
  <si>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</si>
  <si>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>Herbert Wescoat Memorial Library</t>
  </si>
  <si>
    <t>Vinton</t>
  </si>
  <si>
    <t xml:space="preserve">Highland Co Library </t>
  </si>
  <si>
    <t>Holgate Community Library</t>
  </si>
  <si>
    <t>Holmes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</si>
  <si>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</si>
  <si>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</si>
  <si>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</si>
  <si>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</si>
  <si>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</si>
  <si>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Jackson City Library </t>
  </si>
  <si>
    <t>Jackson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</si>
  <si>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</si>
  <si>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</si>
  <si>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</si>
  <si>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</si>
  <si>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</si>
  <si>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</si>
  <si>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</si>
  <si>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Lepper Library </t>
  </si>
  <si>
    <t xml:space="preserve">Liberty Center Library </t>
  </si>
  <si>
    <t>Lima Public Library</t>
  </si>
  <si>
    <t>Hocking</t>
  </si>
  <si>
    <t>Lorain Public Library</t>
  </si>
  <si>
    <t>Loudonville Public Library</t>
  </si>
  <si>
    <t>Madison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</si>
  <si>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</si>
  <si>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</si>
  <si>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</si>
  <si>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</si>
  <si>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</si>
  <si>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</si>
  <si>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</si>
  <si>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</si>
  <si>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</si>
  <si>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</si>
  <si>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</si>
  <si>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Mechanicsburg Library 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</si>
  <si>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</si>
  <si>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</si>
  <si>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</si>
  <si>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</si>
  <si>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>Molo Regional Library System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</si>
  <si>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</si>
  <si>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</si>
  <si>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</si>
  <si>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</si>
  <si>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</si>
  <si>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</si>
  <si>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</si>
  <si>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</si>
  <si>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Athens</t>
  </si>
  <si>
    <t xml:space="preserve">New Madison Library 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</si>
  <si>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</si>
  <si>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</si>
  <si>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</si>
  <si>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</si>
  <si>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</si>
  <si>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</si>
  <si>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</si>
  <si>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</si>
  <si>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</si>
  <si>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</si>
  <si>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</si>
  <si>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</si>
  <si>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</si>
  <si>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</si>
  <si>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</si>
  <si>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</si>
  <si>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</si>
  <si>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</si>
  <si>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</si>
  <si>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</si>
  <si>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</si>
  <si>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>Perry Cook Memorial Public Library</t>
  </si>
  <si>
    <t xml:space="preserve">Perry Public Library </t>
  </si>
  <si>
    <t>Pickaway County Public Library</t>
  </si>
  <si>
    <t>Pickaway</t>
  </si>
  <si>
    <t xml:space="preserve">Plain City Public Library </t>
  </si>
  <si>
    <t xml:space="preserve">Puskarich Public Library </t>
  </si>
  <si>
    <t xml:space="preserve">Reed Memorial Library </t>
  </si>
  <si>
    <t>Reuben Mcmillan Free Library</t>
  </si>
  <si>
    <t>Richwood-North Union Public Library</t>
  </si>
  <si>
    <t>Ritter Public Library</t>
  </si>
  <si>
    <t xml:space="preserve">Rock Creek Library </t>
  </si>
  <si>
    <t>Rocky River Public Library</t>
  </si>
  <si>
    <t>Rodman Public Library</t>
  </si>
  <si>
    <t>Rossford Public Library</t>
  </si>
  <si>
    <t xml:space="preserve">Sabina Library </t>
  </si>
  <si>
    <t>Salem Public Library</t>
  </si>
  <si>
    <t>Salem Township Public Library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</si>
  <si>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</si>
  <si>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</si>
  <si>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</si>
  <si>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</si>
  <si>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</si>
  <si>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</si>
  <si>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</si>
  <si>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</si>
  <si>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</si>
  <si>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</si>
  <si>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</si>
  <si>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</si>
  <si>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</si>
  <si>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Toledo-Lucas Co. Public Library</t>
  </si>
  <si>
    <t>Lucus</t>
  </si>
  <si>
    <t>Tuscarawas Co. Public Library</t>
  </si>
  <si>
    <t>Union Township Public Library</t>
  </si>
  <si>
    <t>Upper Arlington Public Library</t>
  </si>
  <si>
    <t>Upper Sandusky Comm.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</si>
  <si>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</si>
  <si>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</si>
  <si>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</si>
  <si>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</si>
  <si>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</si>
  <si>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</si>
  <si>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</si>
  <si>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Willoughby-Eastlake Public Library</t>
  </si>
  <si>
    <t xml:space="preserve">Wilmington Public Library </t>
  </si>
  <si>
    <t xml:space="preserve">Worch Memorial Public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</si>
  <si>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</si>
  <si>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</si>
  <si>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</si>
  <si>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</si>
  <si>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</si>
  <si>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</si>
  <si>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</si>
  <si>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</si>
  <si>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</si>
  <si>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</si>
  <si>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</si>
  <si>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</si>
  <si>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</si>
  <si>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</si>
  <si>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</si>
  <si>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</si>
  <si>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</si>
  <si>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</si>
  <si>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</si>
  <si>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</si>
  <si>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</si>
  <si>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</si>
  <si>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</si>
  <si>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</si>
  <si>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</si>
  <si>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</si>
  <si>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</si>
  <si>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</si>
  <si>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</si>
  <si>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</si>
  <si>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</si>
  <si>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</si>
  <si>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</si>
  <si>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</si>
  <si>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</si>
  <si>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</si>
  <si>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</si>
  <si>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</si>
  <si>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</si>
  <si>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</si>
  <si>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</si>
  <si>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</si>
  <si>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Employee</t>
  </si>
  <si>
    <t>Fringe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</si>
  <si>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</si>
  <si>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</si>
  <si>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</si>
  <si>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</si>
  <si>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</si>
  <si>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</si>
  <si>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</si>
  <si>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</si>
  <si>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</si>
  <si>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</si>
  <si>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</si>
  <si>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</si>
  <si>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</si>
  <si>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</si>
  <si>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</si>
  <si>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</si>
  <si>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J.R. Clarke Public Library </t>
  </si>
  <si>
    <t xml:space="preserve">McComb Public Library </t>
  </si>
  <si>
    <t>New London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</si>
  <si>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</si>
  <si>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</si>
  <si>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</si>
  <si>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</si>
  <si>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</si>
  <si>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</si>
  <si>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>Intergovern-</t>
  </si>
  <si>
    <t>mental</t>
  </si>
  <si>
    <t>Program Receipts</t>
  </si>
  <si>
    <t>General Receipts</t>
  </si>
  <si>
    <t>Monrow</t>
  </si>
  <si>
    <t>Adams County Public Library</t>
  </si>
  <si>
    <t>Archbold Community Library</t>
  </si>
  <si>
    <t>Ashtabula Co. District Library</t>
  </si>
  <si>
    <t>Auglaize Co. District Library</t>
  </si>
  <si>
    <t>Barberton Public Library</t>
  </si>
  <si>
    <t>Bellaire Public Library</t>
  </si>
  <si>
    <t>Bowerston Library</t>
  </si>
  <si>
    <t>Carroll Co. District Library</t>
  </si>
  <si>
    <t>Chillicothe &amp; Ross Co.. Public Library</t>
  </si>
  <si>
    <t>Claymont School District Public Library</t>
  </si>
  <si>
    <t>Community Library</t>
  </si>
  <si>
    <t>Crestline Public Library</t>
  </si>
  <si>
    <t>Flesh Public Library</t>
  </si>
  <si>
    <t>Evergreen Community Library</t>
  </si>
  <si>
    <t>Franklin Public Library</t>
  </si>
  <si>
    <t>Galion Public Library</t>
  </si>
  <si>
    <t>Germantown Public Library</t>
  </si>
  <si>
    <t>Highland Co. Library</t>
  </si>
  <si>
    <t>Kate Love Simps Library</t>
  </si>
  <si>
    <t>Lebanon Public Library</t>
  </si>
  <si>
    <t>Leetonia Common Library</t>
  </si>
  <si>
    <t>Jackson City Library</t>
  </si>
  <si>
    <t>Grafton-Midview Public Library</t>
  </si>
  <si>
    <t>Mary L. Cook Public Library</t>
  </si>
  <si>
    <t>Mary Lou Johnson-Hardin Library</t>
  </si>
  <si>
    <t>Mason Public Library</t>
  </si>
  <si>
    <t>Mechanicsburg Library</t>
  </si>
  <si>
    <t>Minerva Public Library</t>
  </si>
  <si>
    <t>Monroe County D Library</t>
  </si>
  <si>
    <t>North Baltimore Library</t>
  </si>
  <si>
    <t>Peninsula Library</t>
  </si>
  <si>
    <t>Perry Co Dist Library</t>
  </si>
  <si>
    <t>Plain City Public Library</t>
  </si>
  <si>
    <t>Marvin Memorial Library</t>
  </si>
  <si>
    <t>Mount Sterling Public Library</t>
  </si>
  <si>
    <t>Puskarich Public Library</t>
  </si>
  <si>
    <t>Ridgemont Public Library</t>
  </si>
  <si>
    <t>Rock Creek Library</t>
  </si>
  <si>
    <t>Rockford Carneg Library</t>
  </si>
  <si>
    <t>Saint Paris Pub Library</t>
  </si>
  <si>
    <t>Selover Public Library</t>
  </si>
  <si>
    <t>Seneca East Public Library</t>
  </si>
  <si>
    <t>St Marys Community Public Library</t>
  </si>
  <si>
    <t>St.Clairsville Library</t>
  </si>
  <si>
    <t>Swanton Public Library</t>
  </si>
  <si>
    <t>Wilmington Public Library</t>
  </si>
  <si>
    <t>Wornstaff Memorial Library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</si>
  <si>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</si>
  <si>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</si>
  <si>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</si>
  <si>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</si>
  <si>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</si>
  <si>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</si>
  <si>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</si>
  <si>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</si>
  <si>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</si>
  <si>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</si>
  <si>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</si>
  <si>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</si>
  <si>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Other Local</t>
  </si>
  <si>
    <t>Unrestricted</t>
  </si>
  <si>
    <t>Investment</t>
  </si>
  <si>
    <t>Debt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</si>
  <si>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</si>
  <si>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</si>
  <si>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</si>
  <si>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</si>
  <si>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</si>
  <si>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</si>
  <si>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</si>
  <si>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Proceeds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</si>
  <si>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</si>
  <si>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</si>
  <si>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</si>
  <si>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</si>
  <si>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</si>
  <si>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</si>
  <si>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 xml:space="preserve">Martins Ferry Public Library </t>
  </si>
  <si>
    <t xml:space="preserve">Mount Vernon &amp; Knox Public Library </t>
  </si>
  <si>
    <t>Summint</t>
  </si>
  <si>
    <t>Meigs</t>
  </si>
  <si>
    <t>Akron Summit County Public Library</t>
  </si>
  <si>
    <t>Allen County Law Library</t>
  </si>
  <si>
    <t>Columbus Law Library</t>
  </si>
  <si>
    <t>Fairfield County District Library</t>
  </si>
  <si>
    <t>Lakewood Public Library</t>
  </si>
  <si>
    <t>Martins Ferry Public Library</t>
  </si>
  <si>
    <t>McKinley Memorial Library</t>
  </si>
  <si>
    <t>NEO Regional Library</t>
  </si>
  <si>
    <t>Newark Public Library</t>
  </si>
  <si>
    <t>Northwest Regional Library</t>
  </si>
  <si>
    <t>Pickaway Public Library</t>
  </si>
  <si>
    <t>Porter Public Library</t>
  </si>
  <si>
    <t>Cincinnati</t>
  </si>
  <si>
    <t>Southeast Regional Library</t>
  </si>
  <si>
    <t>Tipp-City Public Library</t>
  </si>
  <si>
    <t>Troy-Miami Co. Public Library</t>
  </si>
  <si>
    <t>William Ammer Memorial Law Library</t>
  </si>
  <si>
    <t xml:space="preserve">Amherst Public Library </t>
  </si>
  <si>
    <t xml:space="preserve">Barberton Public Library </t>
  </si>
  <si>
    <t xml:space="preserve">Clyde Public Library </t>
  </si>
  <si>
    <t xml:space="preserve">Columbiana Library </t>
  </si>
  <si>
    <t xml:space="preserve">Community Library </t>
  </si>
  <si>
    <t xml:space="preserve">East Cleveland Public Library </t>
  </si>
  <si>
    <t xml:space="preserve">Gnadenhutten Public Library </t>
  </si>
  <si>
    <t xml:space="preserve">Herrick Memorial Library </t>
  </si>
  <si>
    <t xml:space="preserve">Hubbard Library </t>
  </si>
  <si>
    <t xml:space="preserve">Massillon Public Library </t>
  </si>
  <si>
    <t xml:space="preserve">Nelsonville Public Library </t>
  </si>
  <si>
    <t xml:space="preserve">New Carlisle Public Library </t>
  </si>
  <si>
    <t xml:space="preserve">New Straitsville Public Library </t>
  </si>
  <si>
    <t xml:space="preserve">Oberlin Public Library </t>
  </si>
  <si>
    <t xml:space="preserve">Patrick Henry School District Library </t>
  </si>
  <si>
    <t xml:space="preserve">Pemberville Public Library </t>
  </si>
  <si>
    <t xml:space="preserve">Ritter Public Library </t>
  </si>
  <si>
    <t xml:space="preserve">Wauseon Public Library </t>
  </si>
  <si>
    <t xml:space="preserve">Wickliffe Public Library </t>
  </si>
  <si>
    <t xml:space="preserve">Wright Memorial Public Library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</si>
  <si>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</si>
  <si>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</si>
  <si>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</si>
  <si>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</si>
  <si>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County Public Library </t>
  </si>
  <si>
    <t xml:space="preserve">Brown </t>
  </si>
  <si>
    <t xml:space="preserve">Carroll </t>
  </si>
  <si>
    <t xml:space="preserve">Champaign </t>
  </si>
  <si>
    <t xml:space="preserve">Clark </t>
  </si>
  <si>
    <t xml:space="preserve">Clinton </t>
  </si>
  <si>
    <t xml:space="preserve">Columbiana </t>
  </si>
  <si>
    <t xml:space="preserve">Crawford </t>
  </si>
  <si>
    <t xml:space="preserve">Cuyahoga </t>
  </si>
  <si>
    <t xml:space="preserve">Fairfield </t>
  </si>
  <si>
    <t xml:space="preserve">Harrison </t>
  </si>
  <si>
    <t xml:space="preserve">Jackson </t>
  </si>
  <si>
    <t xml:space="preserve">Lake </t>
  </si>
  <si>
    <t xml:space="preserve">Licking </t>
  </si>
  <si>
    <t xml:space="preserve">Madison </t>
  </si>
  <si>
    <t xml:space="preserve">Meigs County Public Library </t>
  </si>
  <si>
    <t xml:space="preserve">Meigs </t>
  </si>
  <si>
    <t xml:space="preserve">Coldwater Public Library </t>
  </si>
  <si>
    <t xml:space="preserve">Mercer </t>
  </si>
  <si>
    <t xml:space="preserve">Miami </t>
  </si>
  <si>
    <t xml:space="preserve">Monroe County Library </t>
  </si>
  <si>
    <t xml:space="preserve">Monroe </t>
  </si>
  <si>
    <t xml:space="preserve">Montgomery </t>
  </si>
  <si>
    <t xml:space="preserve">Perry </t>
  </si>
  <si>
    <t xml:space="preserve">Stark </t>
  </si>
  <si>
    <t xml:space="preserve">Bristol Public Library </t>
  </si>
  <si>
    <t xml:space="preserve">Tuscarawas </t>
  </si>
  <si>
    <t xml:space="preserve">Warren </t>
  </si>
  <si>
    <t xml:space="preserve">Wood </t>
  </si>
  <si>
    <t xml:space="preserve">Ross </t>
  </si>
  <si>
    <t/>
  </si>
  <si>
    <t>Transfers Out</t>
  </si>
  <si>
    <t xml:space="preserve">Advances Out </t>
  </si>
  <si>
    <t xml:space="preserve">Monroe County District Library </t>
  </si>
  <si>
    <t>Transfers In</t>
  </si>
  <si>
    <t xml:space="preserve">Advances In </t>
  </si>
  <si>
    <t xml:space="preserve">Alexandria Public Library </t>
  </si>
  <si>
    <t>Ashtabula Co District Library</t>
  </si>
  <si>
    <t>East Cleveland Public Library</t>
  </si>
  <si>
    <t>Findlay-Hancock Public Library</t>
  </si>
  <si>
    <t>Highland Co Library</t>
  </si>
  <si>
    <t>Leetonia Community Library</t>
  </si>
  <si>
    <t>Rockford Carnegie Library</t>
  </si>
  <si>
    <t>Monroe County District Library</t>
  </si>
  <si>
    <t>Perry Co District Library</t>
  </si>
  <si>
    <t>Louisville Public Library</t>
  </si>
  <si>
    <t>Saint Paris Public Library</t>
  </si>
  <si>
    <t>Receipts /</t>
  </si>
  <si>
    <t>General Fund Revenues</t>
  </si>
  <si>
    <t>General Fund Expenditures</t>
  </si>
  <si>
    <t>Governmental Fund Revenues</t>
  </si>
  <si>
    <t>Governmental Fund Expenditures</t>
  </si>
  <si>
    <t>For the Year Ended December 31, 2008</t>
  </si>
  <si>
    <t>Summary Information from the Statement of Activities</t>
  </si>
  <si>
    <t>Summary Data from the Statement of Net Assets - Governmental Activities</t>
  </si>
  <si>
    <t>All Schools Reporting Under GAAP</t>
  </si>
  <si>
    <t xml:space="preserve">                     Liabilities</t>
  </si>
  <si>
    <t>Statement</t>
  </si>
  <si>
    <t>Current</t>
  </si>
  <si>
    <t>Long-term Liabilities</t>
  </si>
  <si>
    <t>Invested in</t>
  </si>
  <si>
    <t>Balances if</t>
  </si>
  <si>
    <t>Liabilities</t>
  </si>
  <si>
    <t>Within 1 Year</t>
  </si>
  <si>
    <t>More Than 1 Yr</t>
  </si>
  <si>
    <t>Capital Assets</t>
  </si>
  <si>
    <t>Restricted</t>
  </si>
  <si>
    <t>Value is "0"</t>
  </si>
  <si>
    <t xml:space="preserve">             </t>
  </si>
  <si>
    <t>Cash Basis</t>
  </si>
  <si>
    <t>Is now Riverside LSD</t>
  </si>
  <si>
    <t xml:space="preserve">** Bowling Green CSD's Financial Statements are broad-based and are not broken out into specific accounts. </t>
  </si>
  <si>
    <t xml:space="preserve">     Therefore, the full amount has been placed into the first column of each group of accounts.</t>
  </si>
  <si>
    <t>As of December 31, 2008</t>
  </si>
  <si>
    <t>Public Library of Cincinnati &amp; Hamilton Co.</t>
  </si>
  <si>
    <t>St. Marys Community Public Library</t>
  </si>
  <si>
    <t>Gifts and</t>
  </si>
  <si>
    <t>and</t>
  </si>
  <si>
    <t>Entitlements</t>
  </si>
  <si>
    <t>Operation and</t>
  </si>
  <si>
    <t>Maintenance</t>
  </si>
  <si>
    <t>Facilities</t>
  </si>
  <si>
    <t>Programs/</t>
  </si>
  <si>
    <t>Tax</t>
  </si>
  <si>
    <t>Rollback</t>
  </si>
  <si>
    <t>Rentals</t>
  </si>
  <si>
    <t>Revenues</t>
  </si>
  <si>
    <t>Others</t>
  </si>
  <si>
    <t>Fringes</t>
  </si>
  <si>
    <t xml:space="preserve">Special </t>
  </si>
  <si>
    <t>Londonville Public Library</t>
  </si>
  <si>
    <t>Perry Co. District Library</t>
  </si>
  <si>
    <t>St. Clairsville Library</t>
  </si>
  <si>
    <t>`</t>
  </si>
  <si>
    <t>East Liverpool Carnegie Public Library</t>
  </si>
  <si>
    <t xml:space="preserve">Rockford Carnege Library </t>
  </si>
  <si>
    <t>Kate Love Simpson Library</t>
  </si>
  <si>
    <t>Chillicothe &amp; Ross County Public Library</t>
  </si>
  <si>
    <t xml:space="preserve">Chillicothe &amp; Ross County Public Library </t>
  </si>
  <si>
    <t>Licking County Public Library</t>
  </si>
  <si>
    <t>Logan County District Library</t>
  </si>
  <si>
    <t>Logan Hocking County District</t>
  </si>
  <si>
    <t>Westerville Public Library</t>
  </si>
  <si>
    <t>The Wagnalls Memorial Library</t>
  </si>
  <si>
    <t xml:space="preserve">Hardin  </t>
  </si>
  <si>
    <t>Sorting Number</t>
  </si>
  <si>
    <t>The Public Library of Cincinnati and Hamilton County</t>
  </si>
  <si>
    <t>Hamilton</t>
  </si>
  <si>
    <t>Briggs Library</t>
  </si>
  <si>
    <t>Lawrence</t>
  </si>
  <si>
    <t>Putnam County Library</t>
  </si>
  <si>
    <t>Putnam</t>
  </si>
  <si>
    <t>Piqua Public Library</t>
  </si>
  <si>
    <t>Grand Valley Public Library</t>
  </si>
  <si>
    <t>Weston Public Library</t>
  </si>
  <si>
    <t>Advances</t>
  </si>
  <si>
    <t>In/(Out)</t>
  </si>
  <si>
    <t>Disbursements</t>
  </si>
  <si>
    <t>(continued)</t>
  </si>
  <si>
    <t>Stark County District Library</t>
  </si>
  <si>
    <t xml:space="preserve">Auglaize County District Library </t>
  </si>
  <si>
    <t xml:space="preserve">Carroll County District Library </t>
  </si>
  <si>
    <t>Champaign County Public Library</t>
  </si>
  <si>
    <t>Cuyahoga County Public Library</t>
  </si>
  <si>
    <t>Findlay-Hancock County Public Library</t>
  </si>
  <si>
    <t>Greene County Public Library</t>
  </si>
  <si>
    <t>Guernsey County Library</t>
  </si>
  <si>
    <t xml:space="preserve">Holmes County Public Library </t>
  </si>
  <si>
    <t>Mansfield - Richland County Public Library</t>
  </si>
  <si>
    <t>Medina County District Library</t>
  </si>
  <si>
    <t xml:space="preserve">Mercer County District Public Library </t>
  </si>
  <si>
    <t>Muskingum County Library</t>
  </si>
  <si>
    <t xml:space="preserve">Perry County District Library </t>
  </si>
  <si>
    <t>Portage County Library</t>
  </si>
  <si>
    <t>Preble County Library</t>
  </si>
  <si>
    <t>Toledo-Lucas County Public Library</t>
  </si>
  <si>
    <t>Troy-Miami County Public Library</t>
  </si>
  <si>
    <t>Tuscarawas County Public Library</t>
  </si>
  <si>
    <t>Warren Trumbull County Library</t>
  </si>
  <si>
    <t>Washington County Public Library</t>
  </si>
  <si>
    <t>Wayne County Public Library</t>
  </si>
  <si>
    <t>Williams County Public Library</t>
  </si>
  <si>
    <t>Wood County District Public Library</t>
  </si>
  <si>
    <t xml:space="preserve">Ashtabula County District Library </t>
  </si>
  <si>
    <t xml:space="preserve">Highland County Library 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</si>
</sst>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#,##0.0_);\(#,##0.0\)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5" fontId="1" fillId="0" borderId="0" applyFont="0" applyFill="0" applyBorder="0" applyAlignment="0" applyProtection="0"/>
  </cellStyleXfs>
  <cellXfs count="71">
    <xf numFmtId="0" fontId="0" fillId="0" borderId="0" xfId="0"/>
    <xf numFmtId="37" fontId="3" fillId="0" borderId="0" xfId="0" applyNumberFormat="1" applyFont="1"/>
    <xf numFmtId="5" fontId="3" fillId="0" borderId="0" xfId="0" applyNumberFormat="1" applyFont="1"/>
    <xf numFmtId="0" fontId="3" fillId="0" borderId="0" xfId="0" applyFont="1" applyFill="1"/>
    <xf numFmtId="37" fontId="3" fillId="0" borderId="0" xfId="0" applyNumberFormat="1" applyFont="1" applyFill="1"/>
    <xf numFmtId="0" fontId="3" fillId="0" borderId="0" xfId="0" applyFont="1" applyBorder="1"/>
    <xf numFmtId="37" fontId="3" fillId="0" borderId="0" xfId="0" applyNumberFormat="1" applyFont="1" applyBorder="1"/>
    <xf numFmtId="5" fontId="3" fillId="0" borderId="0" xfId="0" applyNumberFormat="1" applyFont="1" applyFill="1"/>
    <xf numFmtId="37" fontId="3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/>
    <xf numFmtId="37" fontId="4" fillId="0" borderId="0" xfId="0" applyNumberFormat="1" applyFont="1" applyFill="1" applyBorder="1"/>
    <xf numFmtId="37" fontId="4" fillId="0" borderId="0" xfId="0" applyNumberFormat="1" applyFont="1" applyFill="1"/>
    <xf numFmtId="37" fontId="3" fillId="0" borderId="0" xfId="0" applyNumberFormat="1" applyFont="1" applyFill="1" applyBorder="1"/>
    <xf numFmtId="37" fontId="0" fillId="0" borderId="0" xfId="0" applyNumberFormat="1" applyBorder="1"/>
    <xf numFmtId="37" fontId="3" fillId="0" borderId="0" xfId="0" applyNumberFormat="1" applyFont="1" applyFill="1" applyAlignment="1"/>
    <xf numFmtId="37" fontId="6" fillId="0" borderId="0" xfId="0" applyNumberFormat="1" applyFont="1" applyFill="1" applyAlignment="1"/>
    <xf numFmtId="0" fontId="0" fillId="0" borderId="0" xfId="0" applyFill="1" applyAlignment="1"/>
    <xf numFmtId="0" fontId="6" fillId="0" borderId="0" xfId="0" applyFont="1" applyFill="1" applyAlignment="1"/>
    <xf numFmtId="37" fontId="7" fillId="0" borderId="0" xfId="0" applyNumberFormat="1" applyFont="1" applyFill="1" applyAlignment="1"/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/>
    <xf numFmtId="37" fontId="6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 vertical="top"/>
    </xf>
    <xf numFmtId="5" fontId="3" fillId="0" borderId="0" xfId="0" applyNumberFormat="1" applyFont="1" applyFill="1" applyAlignment="1">
      <alignment vertical="top"/>
    </xf>
    <xf numFmtId="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Alignment="1"/>
    <xf numFmtId="0" fontId="3" fillId="0" borderId="0" xfId="0" applyFont="1" applyFill="1" applyAlignment="1">
      <alignment vertical="top"/>
    </xf>
    <xf numFmtId="37" fontId="5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5" fontId="5" fillId="0" borderId="0" xfId="0" applyNumberFormat="1" applyFont="1" applyFill="1"/>
    <xf numFmtId="164" fontId="3" fillId="0" borderId="0" xfId="0" applyNumberFormat="1" applyFont="1" applyFill="1"/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left"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left"/>
    </xf>
    <xf numFmtId="5" fontId="3" fillId="0" borderId="0" xfId="0" applyNumberFormat="1" applyFont="1" applyFill="1" applyBorder="1"/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/>
    <xf numFmtId="37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3" fillId="0" borderId="0" xfId="0" applyFont="1" applyFill="1" applyBorder="1" applyAlignment="1">
      <alignment wrapText="1"/>
    </xf>
    <xf numFmtId="37" fontId="3" fillId="0" borderId="1" xfId="0" applyNumberFormat="1" applyFont="1" applyFill="1" applyBorder="1" applyAlignment="1">
      <alignment horizontal="center" wrapText="1"/>
    </xf>
    <xf numFmtId="37" fontId="0" fillId="0" borderId="0" xfId="0" applyNumberFormat="1" applyFill="1"/>
    <xf numFmtId="37" fontId="3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9" fontId="0" fillId="0" borderId="0" xfId="0" applyNumberFormat="1" applyFill="1" applyBorder="1" applyAlignment="1"/>
    <xf numFmtId="39" fontId="3" fillId="0" borderId="0" xfId="0" applyNumberFormat="1" applyFont="1" applyFill="1" applyBorder="1" applyAlignment="1"/>
    <xf numFmtId="39" fontId="3" fillId="0" borderId="1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 wrapText="1"/>
    </xf>
    <xf numFmtId="5" fontId="0" fillId="0" borderId="0" xfId="0" applyNumberFormat="1" applyFill="1" applyBorder="1"/>
    <xf numFmtId="37" fontId="0" fillId="0" borderId="0" xfId="0" applyNumberFormat="1" applyFill="1" applyBorder="1"/>
    <xf numFmtId="37" fontId="0" fillId="0" borderId="0" xfId="0" applyNumberFormat="1" applyFill="1" applyBorder="1" applyAlignment="1"/>
    <xf numFmtId="0" fontId="0" fillId="0" borderId="0" xfId="0" applyFill="1" applyBorder="1" applyAlignment="1"/>
  </cellXfs>
  <cellStyles count="2">
    <cellStyle name="Currency0" xfId="1"/>
    <cellStyle name="Normal" xfId="0" builtinId="0"/>
  </cellStyles>
  <dxfs count="0"/>
  <tableStyles count="0" defaultTableStyle="TableStyleMedium9" defaultPivotStyle="PivotStyleLight16"/>
  <colors>
    <mruColors>
      <color rgb="FFFF66CC"/>
      <color rgb="FFFF3399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topLeftCell="J71" zoomScaleNormal="100" zoomScaleSheetLayoutView="80" workbookViewId="0">
      <selection activeCell="O81" sqref="O81"/>
    </sheetView>
  </sheetViews>
  <sheetFormatPr defaultColWidth="9.140625" defaultRowHeight="12.75"/>
  <cols>
    <col min="1" max="1" width="39" style="59" customWidth="1"/>
    <col min="2" max="2" width="1.28515625" style="59" customWidth="1"/>
    <col min="3" max="3" width="10.7109375" style="59" customWidth="1"/>
    <col min="4" max="4" width="1.28515625" style="59" customWidth="1"/>
    <col min="5" max="5" width="11.28515625" style="60" customWidth="1"/>
    <col min="6" max="6" width="1.28515625" style="70" customWidth="1"/>
    <col min="7" max="7" width="10.85546875" style="60" customWidth="1"/>
    <col min="8" max="8" width="1.28515625" style="70" customWidth="1"/>
    <col min="9" max="9" width="10.85546875" style="60" customWidth="1"/>
    <col min="10" max="10" width="1.28515625" style="70" customWidth="1"/>
    <col min="11" max="11" width="10.28515625" style="60" customWidth="1"/>
    <col min="12" max="12" width="1.28515625" style="70" customWidth="1"/>
    <col min="13" max="13" width="13.140625" style="60" customWidth="1"/>
    <col min="14" max="14" width="1.28515625" style="70" customWidth="1"/>
    <col min="15" max="15" width="10.28515625" style="60" customWidth="1"/>
    <col min="16" max="16" width="1.28515625" style="70" hidden="1" customWidth="1"/>
    <col min="17" max="17" width="10.7109375" style="70" customWidth="1"/>
    <col min="18" max="18" width="1.28515625" style="70" customWidth="1"/>
    <col min="19" max="19" width="11.42578125" style="60" bestFit="1" customWidth="1"/>
    <col min="20" max="20" width="1.28515625" style="70" customWidth="1"/>
    <col min="21" max="21" width="11" style="60" customWidth="1"/>
    <col min="22" max="22" width="1.28515625" style="70" customWidth="1"/>
    <col min="23" max="23" width="10.7109375" style="60" customWidth="1"/>
    <col min="24" max="24" width="1.28515625" style="70" customWidth="1"/>
    <col min="25" max="25" width="10.140625" style="60" customWidth="1"/>
    <col min="26" max="26" width="1.28515625" style="70" customWidth="1"/>
    <col min="27" max="27" width="10.85546875" style="60" customWidth="1"/>
    <col min="28" max="28" width="1.28515625" style="70" customWidth="1"/>
    <col min="29" max="29" width="10.42578125" style="60" customWidth="1"/>
    <col min="30" max="30" width="1.28515625" style="70" hidden="1" customWidth="1"/>
    <col min="31" max="31" width="10.7109375" style="60" hidden="1" customWidth="1"/>
    <col min="32" max="32" width="1.28515625" style="70" customWidth="1"/>
    <col min="33" max="33" width="10.7109375" style="60" customWidth="1"/>
    <col min="34" max="34" width="1.28515625" style="70" customWidth="1"/>
    <col min="35" max="35" width="10.7109375" style="60" customWidth="1"/>
    <col min="36" max="36" width="1.28515625" style="70" customWidth="1"/>
    <col min="37" max="37" width="10.7109375" style="60" customWidth="1"/>
    <col min="38" max="16384" width="9.140625" style="59"/>
  </cols>
  <sheetData>
    <row r="1" spans="1:37" ht="12" customHeight="1">
      <c r="A1" s="58" t="s">
        <v>528</v>
      </c>
      <c r="B1" s="58"/>
      <c r="C1" s="58"/>
      <c r="D1" s="58"/>
      <c r="E1" s="5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2" customHeight="1">
      <c r="A2" s="15" t="s">
        <v>400</v>
      </c>
      <c r="B2" s="15"/>
      <c r="C2" s="15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2" customHeight="1">
      <c r="A3" s="15" t="s">
        <v>527</v>
      </c>
      <c r="B3" s="15"/>
      <c r="C3" s="15"/>
      <c r="D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2" hidden="1" customHeight="1">
      <c r="A4" s="15" t="s">
        <v>7</v>
      </c>
      <c r="B4" s="15"/>
      <c r="C4" s="15"/>
      <c r="D4" s="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2" customHeight="1">
      <c r="B5" s="15"/>
      <c r="C5" s="15"/>
      <c r="D5" s="1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2" customHeight="1">
      <c r="A6" s="12" t="s">
        <v>401</v>
      </c>
      <c r="B6" s="15"/>
      <c r="C6" s="15"/>
      <c r="D6" s="1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2" customHeight="1">
      <c r="A7" s="15"/>
      <c r="B7" s="15"/>
      <c r="C7" s="15"/>
      <c r="D7" s="15"/>
      <c r="E7" s="61"/>
      <c r="F7" s="61"/>
      <c r="G7" s="62" t="s">
        <v>350</v>
      </c>
      <c r="H7" s="62"/>
      <c r="I7" s="62"/>
      <c r="J7" s="62"/>
      <c r="K7" s="62"/>
      <c r="L7" s="23"/>
      <c r="M7" s="23"/>
      <c r="N7" s="23"/>
      <c r="O7" s="62" t="s">
        <v>351</v>
      </c>
      <c r="P7" s="62"/>
      <c r="Q7" s="62"/>
      <c r="R7" s="62"/>
      <c r="S7" s="62"/>
      <c r="T7" s="62"/>
      <c r="U7" s="62"/>
      <c r="V7" s="62"/>
      <c r="W7" s="6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2" customHeight="1">
      <c r="A8" s="15"/>
      <c r="B8" s="15"/>
      <c r="C8" s="15"/>
      <c r="D8" s="15"/>
      <c r="E8" s="61"/>
      <c r="F8" s="61"/>
      <c r="G8" s="61"/>
      <c r="H8" s="61"/>
      <c r="I8" s="63" t="s">
        <v>402</v>
      </c>
      <c r="J8" s="61"/>
      <c r="K8" s="61"/>
      <c r="L8" s="23"/>
      <c r="M8" s="23"/>
      <c r="N8" s="23"/>
      <c r="O8" s="23"/>
      <c r="P8" s="23"/>
      <c r="Q8" s="2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2" customHeight="1">
      <c r="D9" s="15"/>
      <c r="E9" s="61"/>
      <c r="F9" s="61"/>
      <c r="G9" s="61"/>
      <c r="H9" s="61"/>
      <c r="I9" s="63" t="s">
        <v>403</v>
      </c>
      <c r="J9" s="61"/>
      <c r="K9" s="61"/>
      <c r="L9" s="23"/>
      <c r="M9" s="63" t="s">
        <v>408</v>
      </c>
      <c r="N9" s="61"/>
      <c r="O9" s="63" t="s">
        <v>31</v>
      </c>
      <c r="P9" s="61"/>
      <c r="Q9" s="63" t="s">
        <v>403</v>
      </c>
      <c r="R9" s="61"/>
      <c r="S9" s="63" t="s">
        <v>413</v>
      </c>
      <c r="T9" s="61"/>
      <c r="U9" s="61"/>
      <c r="V9" s="61"/>
      <c r="W9" s="61"/>
      <c r="X9" s="61"/>
      <c r="Y9" s="61"/>
      <c r="Z9" s="61"/>
      <c r="AA9" s="63" t="s">
        <v>416</v>
      </c>
      <c r="AB9" s="23"/>
      <c r="AC9" s="63" t="s">
        <v>409</v>
      </c>
      <c r="AD9" s="23"/>
      <c r="AE9" s="63"/>
      <c r="AF9" s="61"/>
      <c r="AG9" s="63" t="s">
        <v>410</v>
      </c>
      <c r="AH9" s="61"/>
      <c r="AI9" s="63" t="s">
        <v>411</v>
      </c>
      <c r="AJ9" s="61"/>
      <c r="AK9" s="63" t="s">
        <v>408</v>
      </c>
    </row>
    <row r="10" spans="1:37" ht="12" customHeight="1">
      <c r="A10" s="64"/>
      <c r="B10" s="64"/>
      <c r="C10" s="15"/>
      <c r="D10" s="15"/>
      <c r="E10" s="63" t="s">
        <v>404</v>
      </c>
      <c r="F10" s="61"/>
      <c r="G10" s="63" t="s">
        <v>405</v>
      </c>
      <c r="H10" s="61"/>
      <c r="I10" s="63" t="s">
        <v>406</v>
      </c>
      <c r="J10" s="61"/>
      <c r="K10" s="63" t="s">
        <v>30</v>
      </c>
      <c r="L10" s="23"/>
      <c r="M10" s="63" t="s">
        <v>522</v>
      </c>
      <c r="N10" s="61"/>
      <c r="O10" s="63" t="s">
        <v>412</v>
      </c>
      <c r="P10" s="61"/>
      <c r="Q10" s="63" t="s">
        <v>552</v>
      </c>
      <c r="R10" s="61"/>
      <c r="S10" s="63" t="s">
        <v>551</v>
      </c>
      <c r="T10" s="61"/>
      <c r="U10" s="63" t="s">
        <v>414</v>
      </c>
      <c r="V10" s="61"/>
      <c r="W10" s="61"/>
      <c r="X10" s="61"/>
      <c r="Y10" s="63" t="s">
        <v>415</v>
      </c>
      <c r="Z10" s="61"/>
      <c r="AA10" s="63" t="s">
        <v>590</v>
      </c>
      <c r="AB10" s="23"/>
      <c r="AC10" s="63" t="s">
        <v>417</v>
      </c>
      <c r="AD10" s="23"/>
      <c r="AE10" s="63" t="s">
        <v>28</v>
      </c>
      <c r="AF10" s="61"/>
      <c r="AG10" s="63" t="s">
        <v>418</v>
      </c>
      <c r="AH10" s="61"/>
      <c r="AI10" s="63" t="s">
        <v>419</v>
      </c>
      <c r="AJ10" s="61"/>
      <c r="AK10" s="63" t="s">
        <v>32</v>
      </c>
    </row>
    <row r="11" spans="1:37" s="4" customFormat="1" ht="12">
      <c r="A11" s="49" t="s">
        <v>8</v>
      </c>
      <c r="B11" s="64"/>
      <c r="C11" s="40" t="s">
        <v>6</v>
      </c>
      <c r="D11" s="64"/>
      <c r="E11" s="65" t="s">
        <v>592</v>
      </c>
      <c r="F11" s="64"/>
      <c r="G11" s="66" t="s">
        <v>29</v>
      </c>
      <c r="H11" s="64"/>
      <c r="I11" s="66" t="s">
        <v>407</v>
      </c>
      <c r="J11" s="64"/>
      <c r="K11" s="66" t="s">
        <v>403</v>
      </c>
      <c r="L11" s="64"/>
      <c r="M11" s="66" t="s">
        <v>420</v>
      </c>
      <c r="N11" s="64"/>
      <c r="O11" s="66" t="s">
        <v>421</v>
      </c>
      <c r="P11" s="64"/>
      <c r="Q11" s="66" t="s">
        <v>553</v>
      </c>
      <c r="R11" s="64"/>
      <c r="S11" s="66" t="s">
        <v>406</v>
      </c>
      <c r="T11" s="64"/>
      <c r="U11" s="66" t="s">
        <v>422</v>
      </c>
      <c r="V11" s="64"/>
      <c r="W11" s="66" t="s">
        <v>0</v>
      </c>
      <c r="X11" s="64"/>
      <c r="Y11" s="66" t="s">
        <v>423</v>
      </c>
      <c r="Z11" s="64"/>
      <c r="AA11" s="66" t="s">
        <v>591</v>
      </c>
      <c r="AB11" s="64"/>
      <c r="AC11" s="66" t="s">
        <v>424</v>
      </c>
      <c r="AD11" s="64"/>
      <c r="AE11" s="66" t="s">
        <v>561</v>
      </c>
      <c r="AF11" s="64"/>
      <c r="AG11" s="66" t="s">
        <v>32</v>
      </c>
      <c r="AH11" s="64"/>
      <c r="AI11" s="66" t="s">
        <v>425</v>
      </c>
      <c r="AJ11" s="64"/>
      <c r="AK11" s="66" t="s">
        <v>426</v>
      </c>
    </row>
    <row r="12" spans="1:37" ht="12" hidden="1" customHeight="1">
      <c r="A12" s="12" t="s">
        <v>435</v>
      </c>
      <c r="B12" s="12"/>
      <c r="C12" s="15" t="s">
        <v>97</v>
      </c>
      <c r="D12" s="12"/>
      <c r="E12" s="23"/>
      <c r="F12" s="12"/>
      <c r="G12" s="23"/>
      <c r="H12" s="12"/>
      <c r="I12" s="23"/>
      <c r="J12" s="12"/>
      <c r="K12" s="23"/>
      <c r="L12" s="12"/>
      <c r="M12" s="23"/>
      <c r="N12" s="12"/>
      <c r="O12" s="23"/>
      <c r="P12" s="12"/>
      <c r="Q12" s="23"/>
      <c r="R12" s="12"/>
      <c r="S12" s="23"/>
      <c r="T12" s="12"/>
      <c r="U12" s="23"/>
      <c r="V12" s="12"/>
      <c r="W12" s="23"/>
      <c r="X12" s="12"/>
      <c r="Y12" s="23"/>
      <c r="Z12" s="12"/>
      <c r="AA12" s="23"/>
      <c r="AB12" s="12"/>
      <c r="AC12" s="23"/>
      <c r="AD12" s="12"/>
      <c r="AE12" s="23">
        <f>SUM(O12:AC12)</f>
        <v>0</v>
      </c>
      <c r="AF12" s="12"/>
      <c r="AG12" s="23">
        <f>+M12-AE12</f>
        <v>0</v>
      </c>
      <c r="AH12" s="12"/>
      <c r="AI12" s="23"/>
      <c r="AJ12" s="12"/>
      <c r="AK12" s="23">
        <f>+AI12-AG12</f>
        <v>0</v>
      </c>
    </row>
    <row r="13" spans="1:37" ht="12" hidden="1" customHeight="1">
      <c r="A13" s="12" t="s">
        <v>565</v>
      </c>
      <c r="B13" s="12"/>
      <c r="C13" s="12" t="s">
        <v>83</v>
      </c>
      <c r="D13" s="12"/>
      <c r="E13" s="23">
        <v>0</v>
      </c>
      <c r="F13" s="12"/>
      <c r="G13" s="23">
        <v>0</v>
      </c>
      <c r="H13" s="12"/>
      <c r="I13" s="23">
        <v>0</v>
      </c>
      <c r="J13" s="12"/>
      <c r="K13" s="23">
        <v>0</v>
      </c>
      <c r="L13" s="12"/>
      <c r="M13" s="23">
        <f>+E13-G13-I13-K13</f>
        <v>0</v>
      </c>
      <c r="N13" s="12"/>
      <c r="O13" s="23">
        <v>0</v>
      </c>
      <c r="P13" s="12"/>
      <c r="Q13" s="23">
        <v>0</v>
      </c>
      <c r="R13" s="12"/>
      <c r="S13" s="23">
        <v>0</v>
      </c>
      <c r="T13" s="12"/>
      <c r="U13" s="23">
        <v>0</v>
      </c>
      <c r="V13" s="12"/>
      <c r="W13" s="23">
        <v>0</v>
      </c>
      <c r="X13" s="12"/>
      <c r="Y13" s="23">
        <v>0</v>
      </c>
      <c r="Z13" s="12"/>
      <c r="AA13" s="23">
        <v>0</v>
      </c>
      <c r="AB13" s="12"/>
      <c r="AC13" s="23">
        <v>0</v>
      </c>
      <c r="AD13" s="12"/>
      <c r="AE13" s="23">
        <f>SUM(O13:AC13)</f>
        <v>0</v>
      </c>
      <c r="AF13" s="12"/>
      <c r="AG13" s="23">
        <f>+M13-AE13</f>
        <v>0</v>
      </c>
      <c r="AH13" s="12"/>
      <c r="AI13" s="23">
        <v>0</v>
      </c>
      <c r="AJ13" s="12"/>
      <c r="AK13" s="23">
        <f>+AI13-AG13</f>
        <v>0</v>
      </c>
    </row>
    <row r="14" spans="1:37" s="67" customFormat="1" ht="12" customHeight="1">
      <c r="A14" s="45" t="s">
        <v>353</v>
      </c>
      <c r="B14" s="45"/>
      <c r="C14" s="45" t="s">
        <v>40</v>
      </c>
      <c r="D14" s="45"/>
      <c r="E14" s="45">
        <v>1284843</v>
      </c>
      <c r="F14" s="45"/>
      <c r="G14" s="45">
        <v>36411</v>
      </c>
      <c r="H14" s="45"/>
      <c r="I14" s="45">
        <v>0</v>
      </c>
      <c r="J14" s="45"/>
      <c r="K14" s="45">
        <v>0</v>
      </c>
      <c r="L14" s="45"/>
      <c r="M14" s="46">
        <f>+E14-G14-I14-K14</f>
        <v>1248432</v>
      </c>
      <c r="N14" s="45"/>
      <c r="O14" s="45">
        <v>0</v>
      </c>
      <c r="P14" s="45"/>
      <c r="Q14" s="45">
        <v>982181</v>
      </c>
      <c r="R14" s="45"/>
      <c r="S14" s="45">
        <v>0</v>
      </c>
      <c r="T14" s="45"/>
      <c r="U14" s="45">
        <v>52010</v>
      </c>
      <c r="V14" s="45"/>
      <c r="W14" s="45">
        <v>803</v>
      </c>
      <c r="X14" s="45"/>
      <c r="Y14" s="45">
        <v>0</v>
      </c>
      <c r="Z14" s="45"/>
      <c r="AA14" s="45">
        <v>0</v>
      </c>
      <c r="AB14" s="45"/>
      <c r="AC14" s="45">
        <v>0</v>
      </c>
      <c r="AD14" s="45"/>
      <c r="AE14" s="46">
        <f>SUM(O14:AC14)</f>
        <v>1034994</v>
      </c>
      <c r="AF14" s="45"/>
      <c r="AG14" s="46">
        <f>+M14-AE14</f>
        <v>213438</v>
      </c>
      <c r="AH14" s="45"/>
      <c r="AI14" s="45">
        <v>1836614</v>
      </c>
      <c r="AJ14" s="45"/>
      <c r="AK14" s="46">
        <f>+AI14-AG14</f>
        <v>1623176</v>
      </c>
    </row>
    <row r="15" spans="1:37" ht="12" customHeight="1">
      <c r="A15" s="7" t="s">
        <v>434</v>
      </c>
      <c r="B15" s="45"/>
      <c r="C15" s="7" t="s">
        <v>22</v>
      </c>
      <c r="D15" s="45"/>
      <c r="E15" s="17">
        <v>35969469</v>
      </c>
      <c r="F15" s="23"/>
      <c r="G15" s="17">
        <v>584274</v>
      </c>
      <c r="H15" s="23"/>
      <c r="I15" s="17">
        <v>33638</v>
      </c>
      <c r="J15" s="23"/>
      <c r="K15" s="17">
        <v>0</v>
      </c>
      <c r="L15" s="23"/>
      <c r="M15" s="17">
        <f>+E15-G15-I15-K15</f>
        <v>35351557</v>
      </c>
      <c r="N15" s="23"/>
      <c r="O15" s="17">
        <f>9449973+5065736</f>
        <v>14515709</v>
      </c>
      <c r="P15" s="23"/>
      <c r="Q15" s="17">
        <f>2680813+14171624</f>
        <v>16852437</v>
      </c>
      <c r="R15" s="23"/>
      <c r="S15" s="17">
        <v>11404</v>
      </c>
      <c r="T15" s="23"/>
      <c r="U15" s="17">
        <v>347685</v>
      </c>
      <c r="V15" s="23"/>
      <c r="W15" s="17">
        <v>733806</v>
      </c>
      <c r="X15" s="23"/>
      <c r="Y15" s="17">
        <v>0</v>
      </c>
      <c r="Z15" s="23"/>
      <c r="AA15" s="17">
        <v>0</v>
      </c>
      <c r="AB15" s="23"/>
      <c r="AC15" s="17">
        <v>0</v>
      </c>
      <c r="AD15" s="23"/>
      <c r="AE15" s="23">
        <f>SUM(O15:AC15)</f>
        <v>32461041</v>
      </c>
      <c r="AF15" s="23"/>
      <c r="AG15" s="23">
        <f>+M15-AE15</f>
        <v>2890516</v>
      </c>
      <c r="AH15" s="23"/>
      <c r="AI15" s="17">
        <v>10661760</v>
      </c>
      <c r="AJ15" s="23"/>
      <c r="AK15" s="23">
        <f>+AI15-AG15</f>
        <v>7771244</v>
      </c>
    </row>
    <row r="16" spans="1:37" ht="12" customHeight="1">
      <c r="A16" s="15" t="s">
        <v>71</v>
      </c>
      <c r="B16" s="4"/>
      <c r="C16" s="15" t="s">
        <v>41</v>
      </c>
      <c r="D16" s="4"/>
      <c r="E16" s="15">
        <v>356811</v>
      </c>
      <c r="F16" s="4"/>
      <c r="G16" s="15">
        <v>0</v>
      </c>
      <c r="H16" s="4"/>
      <c r="I16" s="15">
        <v>0</v>
      </c>
      <c r="J16" s="4"/>
      <c r="K16" s="15">
        <v>0</v>
      </c>
      <c r="L16" s="4"/>
      <c r="M16" s="23">
        <f>+E16-G16-I16-K16</f>
        <v>356811</v>
      </c>
      <c r="N16" s="4"/>
      <c r="O16" s="15">
        <v>0</v>
      </c>
      <c r="P16" s="4"/>
      <c r="Q16" s="4">
        <v>314002</v>
      </c>
      <c r="R16" s="4"/>
      <c r="S16" s="15">
        <v>0</v>
      </c>
      <c r="T16" s="4"/>
      <c r="U16" s="15">
        <v>15924</v>
      </c>
      <c r="V16" s="4"/>
      <c r="W16" s="15">
        <v>6881</v>
      </c>
      <c r="X16" s="4"/>
      <c r="Y16" s="15">
        <v>0</v>
      </c>
      <c r="Z16" s="4"/>
      <c r="AA16" s="15">
        <v>0</v>
      </c>
      <c r="AB16" s="4"/>
      <c r="AC16" s="15">
        <v>0</v>
      </c>
      <c r="AD16" s="4"/>
      <c r="AE16" s="23">
        <f>SUM(O16:AC16)</f>
        <v>336807</v>
      </c>
      <c r="AF16" s="4"/>
      <c r="AG16" s="23">
        <f>+M16-AE16</f>
        <v>20004</v>
      </c>
      <c r="AH16" s="4"/>
      <c r="AI16" s="15">
        <v>800018</v>
      </c>
      <c r="AJ16" s="4"/>
      <c r="AK16" s="23">
        <f>+AI16-AG16</f>
        <v>780014</v>
      </c>
    </row>
    <row r="17" spans="1:37" ht="12" customHeight="1">
      <c r="A17" s="15" t="s">
        <v>76</v>
      </c>
      <c r="B17" s="15"/>
      <c r="C17" s="15" t="s">
        <v>57</v>
      </c>
      <c r="D17" s="15"/>
      <c r="E17" s="23">
        <v>1422738</v>
      </c>
      <c r="F17" s="23"/>
      <c r="G17" s="23">
        <v>33571</v>
      </c>
      <c r="H17" s="23"/>
      <c r="I17" s="23">
        <v>49974</v>
      </c>
      <c r="J17" s="23"/>
      <c r="K17" s="23">
        <v>0</v>
      </c>
      <c r="L17" s="23"/>
      <c r="M17" s="23">
        <f>+E17-G17-I17-K17</f>
        <v>1339193</v>
      </c>
      <c r="N17" s="23"/>
      <c r="O17" s="23">
        <v>295377</v>
      </c>
      <c r="P17" s="23"/>
      <c r="Q17" s="23">
        <v>853329</v>
      </c>
      <c r="R17" s="23"/>
      <c r="S17" s="23">
        <v>0</v>
      </c>
      <c r="T17" s="23"/>
      <c r="U17" s="23">
        <v>59652</v>
      </c>
      <c r="V17" s="23"/>
      <c r="W17" s="23">
        <v>3355</v>
      </c>
      <c r="X17" s="23"/>
      <c r="Y17" s="23">
        <v>0</v>
      </c>
      <c r="Z17" s="23"/>
      <c r="AA17" s="23">
        <v>0</v>
      </c>
      <c r="AB17" s="23"/>
      <c r="AC17" s="23">
        <v>0</v>
      </c>
      <c r="AD17" s="23"/>
      <c r="AE17" s="23">
        <f>SUM(O17:AC17)</f>
        <v>1211713</v>
      </c>
      <c r="AF17" s="23"/>
      <c r="AG17" s="23">
        <f>+M17-AE17</f>
        <v>127480</v>
      </c>
      <c r="AH17" s="23"/>
      <c r="AI17" s="23">
        <v>2453637</v>
      </c>
      <c r="AJ17" s="23"/>
      <c r="AK17" s="23">
        <f>+AI17-AG17</f>
        <v>2326157</v>
      </c>
    </row>
    <row r="18" spans="1:37" ht="12" customHeight="1">
      <c r="A18" s="3" t="s">
        <v>82</v>
      </c>
      <c r="B18" s="12"/>
      <c r="C18" s="3" t="s">
        <v>83</v>
      </c>
      <c r="D18" s="15"/>
      <c r="E18" s="17">
        <v>1533626</v>
      </c>
      <c r="F18" s="23"/>
      <c r="G18" s="17">
        <v>54195</v>
      </c>
      <c r="H18" s="23"/>
      <c r="I18" s="17">
        <v>1100</v>
      </c>
      <c r="J18" s="23"/>
      <c r="K18" s="17">
        <v>0</v>
      </c>
      <c r="L18" s="23"/>
      <c r="M18" s="23">
        <f>+E18-G18-I18-K18</f>
        <v>1478331</v>
      </c>
      <c r="N18" s="23"/>
      <c r="O18" s="17">
        <v>2718</v>
      </c>
      <c r="P18" s="23"/>
      <c r="Q18" s="23">
        <v>1235195</v>
      </c>
      <c r="R18" s="23"/>
      <c r="S18" s="17">
        <v>2657</v>
      </c>
      <c r="T18" s="23"/>
      <c r="U18" s="17">
        <v>64413</v>
      </c>
      <c r="V18" s="23"/>
      <c r="W18" s="17">
        <v>5698</v>
      </c>
      <c r="X18" s="23"/>
      <c r="Y18" s="17">
        <v>0</v>
      </c>
      <c r="Z18" s="23"/>
      <c r="AA18" s="17">
        <v>0</v>
      </c>
      <c r="AB18" s="23"/>
      <c r="AC18" s="17">
        <v>0</v>
      </c>
      <c r="AD18" s="23"/>
      <c r="AE18" s="23">
        <f>SUM(O18:AC18)</f>
        <v>1310681</v>
      </c>
      <c r="AF18" s="23"/>
      <c r="AG18" s="23">
        <f>+M18-AE18</f>
        <v>167650</v>
      </c>
      <c r="AH18" s="23"/>
      <c r="AI18" s="17">
        <v>2398477</v>
      </c>
      <c r="AJ18" s="23"/>
      <c r="AK18" s="23">
        <f>+AI18-AG18</f>
        <v>2230827</v>
      </c>
    </row>
    <row r="19" spans="1:37" s="68" customFormat="1" ht="12" customHeight="1">
      <c r="A19" s="15" t="s">
        <v>512</v>
      </c>
      <c r="B19" s="4"/>
      <c r="C19" s="15" t="s">
        <v>43</v>
      </c>
      <c r="D19" s="4"/>
      <c r="E19" s="15">
        <v>1714840</v>
      </c>
      <c r="F19" s="4"/>
      <c r="G19" s="15">
        <v>38918</v>
      </c>
      <c r="H19" s="4"/>
      <c r="I19" s="15">
        <v>10851</v>
      </c>
      <c r="J19" s="4"/>
      <c r="K19" s="15">
        <v>0</v>
      </c>
      <c r="L19" s="4"/>
      <c r="M19" s="23">
        <f>+E19-G19-I19-K19</f>
        <v>1665071</v>
      </c>
      <c r="N19" s="4"/>
      <c r="O19" s="15">
        <v>1550290</v>
      </c>
      <c r="P19" s="4"/>
      <c r="Q19" s="4">
        <v>5071</v>
      </c>
      <c r="R19" s="4"/>
      <c r="S19" s="15">
        <v>0</v>
      </c>
      <c r="T19" s="4"/>
      <c r="U19" s="15">
        <v>72625</v>
      </c>
      <c r="V19" s="4"/>
      <c r="W19" s="15">
        <v>10244</v>
      </c>
      <c r="X19" s="4"/>
      <c r="Y19" s="15">
        <v>0</v>
      </c>
      <c r="Z19" s="4"/>
      <c r="AA19" s="15">
        <v>0</v>
      </c>
      <c r="AB19" s="4"/>
      <c r="AC19" s="15">
        <v>0</v>
      </c>
      <c r="AD19" s="4"/>
      <c r="AE19" s="23">
        <f>SUM(O19:AC19)</f>
        <v>1638230</v>
      </c>
      <c r="AF19" s="4"/>
      <c r="AG19" s="23">
        <f>+M19-AE19</f>
        <v>26841</v>
      </c>
      <c r="AH19" s="4"/>
      <c r="AI19" s="15">
        <v>2890734</v>
      </c>
      <c r="AJ19" s="4"/>
      <c r="AK19" s="23">
        <f>+AI19-AG19</f>
        <v>2863893</v>
      </c>
    </row>
    <row r="20" spans="1:37" ht="12" customHeight="1">
      <c r="A20" s="4" t="s">
        <v>356</v>
      </c>
      <c r="B20" s="4"/>
      <c r="C20" s="4" t="s">
        <v>44</v>
      </c>
      <c r="D20" s="4"/>
      <c r="E20" s="4">
        <v>1165184</v>
      </c>
      <c r="F20" s="4"/>
      <c r="G20" s="4">
        <v>0</v>
      </c>
      <c r="H20" s="4"/>
      <c r="I20" s="4">
        <v>0</v>
      </c>
      <c r="J20" s="4"/>
      <c r="K20" s="4">
        <v>0</v>
      </c>
      <c r="L20" s="4"/>
      <c r="M20" s="23">
        <f>+E20-G20-I20-K20</f>
        <v>1165184</v>
      </c>
      <c r="N20" s="4"/>
      <c r="O20" s="4">
        <v>0</v>
      </c>
      <c r="P20" s="4"/>
      <c r="Q20" s="4">
        <v>1221976</v>
      </c>
      <c r="R20" s="4"/>
      <c r="S20" s="4">
        <v>0</v>
      </c>
      <c r="T20" s="4"/>
      <c r="U20" s="4">
        <v>32269</v>
      </c>
      <c r="V20" s="4"/>
      <c r="W20" s="4">
        <v>62197</v>
      </c>
      <c r="X20" s="4"/>
      <c r="Y20" s="4">
        <v>0</v>
      </c>
      <c r="Z20" s="4"/>
      <c r="AA20" s="4">
        <v>0</v>
      </c>
      <c r="AB20" s="4"/>
      <c r="AC20" s="4">
        <v>0</v>
      </c>
      <c r="AD20" s="4"/>
      <c r="AE20" s="23">
        <f>SUM(O20:AC20)</f>
        <v>1316442</v>
      </c>
      <c r="AF20" s="4"/>
      <c r="AG20" s="23">
        <f>+M20-AE20</f>
        <v>-151258</v>
      </c>
      <c r="AH20" s="4"/>
      <c r="AI20" s="4">
        <v>3098905</v>
      </c>
      <c r="AJ20" s="4"/>
      <c r="AK20" s="23">
        <f>+AI20-AG20</f>
        <v>3250163</v>
      </c>
    </row>
    <row r="21" spans="1:37" ht="12" customHeight="1">
      <c r="A21" s="3" t="s">
        <v>84</v>
      </c>
      <c r="B21" s="12"/>
      <c r="C21" s="4" t="s">
        <v>57</v>
      </c>
      <c r="D21" s="15"/>
      <c r="E21" s="17">
        <v>2461253</v>
      </c>
      <c r="F21" s="23"/>
      <c r="G21" s="17">
        <v>58371</v>
      </c>
      <c r="H21" s="23"/>
      <c r="I21" s="17">
        <v>0</v>
      </c>
      <c r="J21" s="23"/>
      <c r="K21" s="17">
        <v>0</v>
      </c>
      <c r="L21" s="23"/>
      <c r="M21" s="23">
        <f>+E21-G21-I21-K21</f>
        <v>2402882</v>
      </c>
      <c r="N21" s="23"/>
      <c r="O21" s="17">
        <v>1459633</v>
      </c>
      <c r="P21" s="23"/>
      <c r="Q21" s="23">
        <v>803892</v>
      </c>
      <c r="R21" s="23"/>
      <c r="S21" s="17">
        <v>661</v>
      </c>
      <c r="T21" s="23"/>
      <c r="U21" s="17">
        <v>16923</v>
      </c>
      <c r="V21" s="23"/>
      <c r="W21" s="17">
        <v>20915</v>
      </c>
      <c r="X21" s="23"/>
      <c r="Y21" s="17">
        <v>0</v>
      </c>
      <c r="Z21" s="23"/>
      <c r="AA21" s="17">
        <v>0</v>
      </c>
      <c r="AB21" s="23"/>
      <c r="AC21" s="17">
        <v>0</v>
      </c>
      <c r="AD21" s="23"/>
      <c r="AE21" s="23">
        <f>SUM(O21:AC21)</f>
        <v>2302024</v>
      </c>
      <c r="AF21" s="23"/>
      <c r="AG21" s="23">
        <f>+M21-AE21</f>
        <v>100858</v>
      </c>
      <c r="AH21" s="23"/>
      <c r="AI21" s="17">
        <v>755232</v>
      </c>
      <c r="AJ21" s="23"/>
      <c r="AK21" s="23">
        <f>+AI21-AG21</f>
        <v>654374</v>
      </c>
    </row>
    <row r="22" spans="1:37" ht="12" customHeight="1">
      <c r="A22" s="15" t="s">
        <v>357</v>
      </c>
      <c r="B22" s="4"/>
      <c r="C22" s="15" t="s">
        <v>22</v>
      </c>
      <c r="D22" s="4"/>
      <c r="E22" s="15">
        <v>1436164</v>
      </c>
      <c r="F22" s="4"/>
      <c r="G22" s="15">
        <v>25517</v>
      </c>
      <c r="H22" s="4"/>
      <c r="I22" s="15">
        <v>108835</v>
      </c>
      <c r="J22" s="4"/>
      <c r="K22" s="15">
        <v>0</v>
      </c>
      <c r="L22" s="4"/>
      <c r="M22" s="23">
        <f>+E22-G22-I22-K22</f>
        <v>1301812</v>
      </c>
      <c r="N22" s="4"/>
      <c r="O22" s="15">
        <v>444413</v>
      </c>
      <c r="P22" s="4"/>
      <c r="Q22" s="4">
        <v>1046936</v>
      </c>
      <c r="R22" s="4"/>
      <c r="S22" s="15">
        <v>0</v>
      </c>
      <c r="T22" s="4"/>
      <c r="U22" s="15">
        <v>31495</v>
      </c>
      <c r="V22" s="4"/>
      <c r="W22" s="15">
        <v>4139</v>
      </c>
      <c r="X22" s="4"/>
      <c r="Y22" s="15">
        <v>0</v>
      </c>
      <c r="Z22" s="4"/>
      <c r="AA22" s="15">
        <v>0</v>
      </c>
      <c r="AB22" s="4"/>
      <c r="AC22" s="15">
        <v>0</v>
      </c>
      <c r="AD22" s="4"/>
      <c r="AE22" s="23">
        <f>SUM(O22:AC22)</f>
        <v>1526983</v>
      </c>
      <c r="AF22" s="4"/>
      <c r="AG22" s="23">
        <f>+M22-AE22</f>
        <v>-225171</v>
      </c>
      <c r="AH22" s="4"/>
      <c r="AI22" s="15">
        <v>1176725</v>
      </c>
      <c r="AJ22" s="4"/>
      <c r="AK22" s="23">
        <f>+AI22-AG22</f>
        <v>1401896</v>
      </c>
    </row>
    <row r="23" spans="1:37" ht="12" customHeight="1">
      <c r="A23" s="3" t="s">
        <v>21</v>
      </c>
      <c r="B23" s="12"/>
      <c r="C23" s="3" t="s">
        <v>13</v>
      </c>
      <c r="D23" s="15"/>
      <c r="E23" s="17">
        <v>685656</v>
      </c>
      <c r="F23" s="23"/>
      <c r="G23" s="17">
        <v>17714</v>
      </c>
      <c r="H23" s="23"/>
      <c r="I23" s="17">
        <v>0</v>
      </c>
      <c r="J23" s="23"/>
      <c r="K23" s="17">
        <v>0</v>
      </c>
      <c r="L23" s="23"/>
      <c r="M23" s="23">
        <f>+E23-G23-I23-K23</f>
        <v>667942</v>
      </c>
      <c r="N23" s="23"/>
      <c r="O23" s="15">
        <v>0</v>
      </c>
      <c r="P23" s="23"/>
      <c r="Q23" s="23">
        <v>505365</v>
      </c>
      <c r="R23" s="23"/>
      <c r="S23" s="17">
        <v>14068</v>
      </c>
      <c r="T23" s="23"/>
      <c r="U23" s="17">
        <v>24987</v>
      </c>
      <c r="V23" s="23"/>
      <c r="W23" s="17">
        <v>188</v>
      </c>
      <c r="X23" s="23"/>
      <c r="Y23" s="17">
        <v>0</v>
      </c>
      <c r="Z23" s="23"/>
      <c r="AA23" s="17">
        <v>0</v>
      </c>
      <c r="AB23" s="23"/>
      <c r="AC23" s="17">
        <v>0</v>
      </c>
      <c r="AD23" s="23"/>
      <c r="AE23" s="23">
        <f>SUM(O23:AC23)</f>
        <v>544608</v>
      </c>
      <c r="AF23" s="23"/>
      <c r="AG23" s="23">
        <f>+M23-AE23</f>
        <v>123334</v>
      </c>
      <c r="AH23" s="23"/>
      <c r="AI23" s="17">
        <v>908679</v>
      </c>
      <c r="AJ23" s="23"/>
      <c r="AK23" s="23">
        <f>+AI23-AG23</f>
        <v>785345</v>
      </c>
    </row>
    <row r="24" spans="1:37" ht="12" customHeight="1">
      <c r="A24" s="15" t="s">
        <v>358</v>
      </c>
      <c r="B24" s="4"/>
      <c r="C24" s="15" t="s">
        <v>13</v>
      </c>
      <c r="D24" s="4"/>
      <c r="E24" s="15">
        <v>573802</v>
      </c>
      <c r="F24" s="4"/>
      <c r="G24" s="15">
        <v>9823</v>
      </c>
      <c r="H24" s="4"/>
      <c r="I24" s="15">
        <v>0</v>
      </c>
      <c r="J24" s="4"/>
      <c r="K24" s="15">
        <v>0</v>
      </c>
      <c r="L24" s="4"/>
      <c r="M24" s="23">
        <f>+E24-G24-I24-K24</f>
        <v>563979</v>
      </c>
      <c r="N24" s="4"/>
      <c r="O24" s="15">
        <v>0</v>
      </c>
      <c r="P24" s="4"/>
      <c r="Q24" s="4">
        <v>507431</v>
      </c>
      <c r="R24" s="4"/>
      <c r="S24" s="15">
        <v>0</v>
      </c>
      <c r="T24" s="4"/>
      <c r="U24" s="15">
        <v>29747</v>
      </c>
      <c r="V24" s="4"/>
      <c r="W24" s="15">
        <v>44</v>
      </c>
      <c r="X24" s="4"/>
      <c r="Y24" s="15">
        <v>0</v>
      </c>
      <c r="Z24" s="4"/>
      <c r="AA24" s="15">
        <v>0</v>
      </c>
      <c r="AB24" s="4"/>
      <c r="AC24" s="15">
        <v>0</v>
      </c>
      <c r="AD24" s="4"/>
      <c r="AE24" s="23">
        <f>SUM(O24:AC24)</f>
        <v>537222</v>
      </c>
      <c r="AF24" s="4"/>
      <c r="AG24" s="23">
        <f>+M24-AE24</f>
        <v>26757</v>
      </c>
      <c r="AH24" s="4"/>
      <c r="AI24" s="15">
        <v>1064796</v>
      </c>
      <c r="AJ24" s="4"/>
      <c r="AK24" s="23">
        <f>+AI24-AG24</f>
        <v>1038039</v>
      </c>
    </row>
    <row r="25" spans="1:37" ht="12" customHeight="1">
      <c r="A25" s="3" t="s">
        <v>88</v>
      </c>
      <c r="B25" s="15"/>
      <c r="C25" s="4" t="s">
        <v>89</v>
      </c>
      <c r="D25" s="15"/>
      <c r="E25" s="17">
        <v>1258087</v>
      </c>
      <c r="F25" s="23"/>
      <c r="G25" s="17">
        <v>28995</v>
      </c>
      <c r="H25" s="23"/>
      <c r="I25" s="17">
        <v>29510</v>
      </c>
      <c r="J25" s="23"/>
      <c r="K25" s="17">
        <v>0</v>
      </c>
      <c r="L25" s="23"/>
      <c r="M25" s="23">
        <f>+E25-G25-I25-K25</f>
        <v>1199582</v>
      </c>
      <c r="N25" s="23"/>
      <c r="O25" s="17">
        <v>280962</v>
      </c>
      <c r="P25" s="23"/>
      <c r="Q25" s="23">
        <v>684675</v>
      </c>
      <c r="R25" s="23"/>
      <c r="S25" s="17">
        <v>0</v>
      </c>
      <c r="T25" s="23"/>
      <c r="U25" s="17">
        <v>23748</v>
      </c>
      <c r="V25" s="23"/>
      <c r="W25" s="17">
        <v>4978</v>
      </c>
      <c r="X25" s="23"/>
      <c r="Y25" s="17">
        <v>0</v>
      </c>
      <c r="Z25" s="23"/>
      <c r="AA25" s="17">
        <v>63000</v>
      </c>
      <c r="AB25" s="23"/>
      <c r="AC25" s="17">
        <v>0</v>
      </c>
      <c r="AD25" s="23"/>
      <c r="AE25" s="23">
        <f>SUM(O25:AC25)</f>
        <v>1057363</v>
      </c>
      <c r="AF25" s="23"/>
      <c r="AG25" s="23">
        <f>+M25-AE25</f>
        <v>142219</v>
      </c>
      <c r="AH25" s="23"/>
      <c r="AI25" s="17">
        <v>1055794</v>
      </c>
      <c r="AJ25" s="23"/>
      <c r="AK25" s="23">
        <f>+AI25-AG25</f>
        <v>913575</v>
      </c>
    </row>
    <row r="26" spans="1:37" ht="12" customHeight="1">
      <c r="A26" s="4" t="s">
        <v>95</v>
      </c>
      <c r="B26" s="4"/>
      <c r="C26" s="4" t="s">
        <v>69</v>
      </c>
      <c r="D26" s="4"/>
      <c r="E26" s="4">
        <v>635294</v>
      </c>
      <c r="F26" s="4"/>
      <c r="G26" s="4">
        <v>12422</v>
      </c>
      <c r="H26" s="4"/>
      <c r="I26" s="4">
        <v>0</v>
      </c>
      <c r="J26" s="4"/>
      <c r="K26" s="4">
        <v>0</v>
      </c>
      <c r="L26" s="4"/>
      <c r="M26" s="23">
        <f>+E26-G26-I26-K26</f>
        <v>622872</v>
      </c>
      <c r="N26" s="4"/>
      <c r="O26" s="4">
        <v>126734</v>
      </c>
      <c r="P26" s="4"/>
      <c r="Q26" s="4">
        <v>490478</v>
      </c>
      <c r="R26" s="4"/>
      <c r="S26" s="4">
        <v>0</v>
      </c>
      <c r="T26" s="4"/>
      <c r="U26" s="4">
        <v>4248</v>
      </c>
      <c r="V26" s="4"/>
      <c r="W26" s="4">
        <f>1725+0</f>
        <v>1725</v>
      </c>
      <c r="X26" s="4"/>
      <c r="Y26" s="4">
        <v>0</v>
      </c>
      <c r="Z26" s="4"/>
      <c r="AA26" s="4">
        <v>0</v>
      </c>
      <c r="AB26" s="4"/>
      <c r="AC26" s="4">
        <v>0</v>
      </c>
      <c r="AD26" s="4"/>
      <c r="AE26" s="23">
        <f>SUM(O26:AC26)</f>
        <v>623185</v>
      </c>
      <c r="AF26" s="4"/>
      <c r="AG26" s="23">
        <f>+M26-AE26</f>
        <v>-313</v>
      </c>
      <c r="AH26" s="4"/>
      <c r="AI26" s="4">
        <v>294313</v>
      </c>
      <c r="AJ26" s="4"/>
      <c r="AK26" s="23">
        <f>+AI26-AG26</f>
        <v>294626</v>
      </c>
    </row>
    <row r="27" spans="1:37" ht="12" customHeight="1">
      <c r="A27" s="12" t="s">
        <v>100</v>
      </c>
      <c r="B27" s="15"/>
      <c r="C27" s="15" t="s">
        <v>56</v>
      </c>
      <c r="D27" s="15"/>
      <c r="E27" s="23">
        <v>483619</v>
      </c>
      <c r="F27" s="23"/>
      <c r="G27" s="23">
        <v>21549</v>
      </c>
      <c r="H27" s="23"/>
      <c r="I27" s="23">
        <v>0</v>
      </c>
      <c r="J27" s="23"/>
      <c r="K27" s="23">
        <v>0</v>
      </c>
      <c r="L27" s="23"/>
      <c r="M27" s="23">
        <f>+E27-G27-I27-K27</f>
        <v>462070</v>
      </c>
      <c r="N27" s="23"/>
      <c r="O27" s="23">
        <v>0</v>
      </c>
      <c r="P27" s="23"/>
      <c r="Q27" s="23">
        <v>457452</v>
      </c>
      <c r="R27" s="23"/>
      <c r="S27" s="23">
        <v>75</v>
      </c>
      <c r="T27" s="23"/>
      <c r="U27" s="23">
        <v>39972</v>
      </c>
      <c r="V27" s="23"/>
      <c r="W27" s="23">
        <v>2054</v>
      </c>
      <c r="X27" s="23"/>
      <c r="Y27" s="23">
        <v>0</v>
      </c>
      <c r="Z27" s="23"/>
      <c r="AA27" s="23">
        <v>0</v>
      </c>
      <c r="AB27" s="23"/>
      <c r="AC27" s="23">
        <v>0</v>
      </c>
      <c r="AD27" s="23"/>
      <c r="AE27" s="23">
        <f>SUM(O27:AC27)</f>
        <v>499553</v>
      </c>
      <c r="AF27" s="23"/>
      <c r="AG27" s="23">
        <f>+M27-AE27</f>
        <v>-37483</v>
      </c>
      <c r="AH27" s="23"/>
      <c r="AI27" s="23">
        <v>862180</v>
      </c>
      <c r="AJ27" s="23"/>
      <c r="AK27" s="23">
        <f>+AI27-AG27</f>
        <v>899663</v>
      </c>
    </row>
    <row r="28" spans="1:37" ht="12" customHeight="1">
      <c r="A28" s="12" t="s">
        <v>109</v>
      </c>
      <c r="B28" s="12"/>
      <c r="C28" s="12" t="s">
        <v>110</v>
      </c>
      <c r="D28" s="15"/>
      <c r="E28" s="23">
        <v>1547185</v>
      </c>
      <c r="F28" s="23"/>
      <c r="G28" s="23">
        <v>19203</v>
      </c>
      <c r="H28" s="23"/>
      <c r="I28" s="23">
        <v>933</v>
      </c>
      <c r="J28" s="23"/>
      <c r="K28" s="23">
        <v>0</v>
      </c>
      <c r="L28" s="23"/>
      <c r="M28" s="23">
        <f>+E28-G28-I28-K28</f>
        <v>1527049</v>
      </c>
      <c r="N28" s="23"/>
      <c r="O28" s="23">
        <v>0</v>
      </c>
      <c r="P28" s="23"/>
      <c r="Q28" s="23">
        <v>1033005</v>
      </c>
      <c r="R28" s="23"/>
      <c r="S28" s="23">
        <f>365+125000</f>
        <v>125365</v>
      </c>
      <c r="T28" s="23"/>
      <c r="U28" s="23">
        <v>40324</v>
      </c>
      <c r="V28" s="23"/>
      <c r="W28" s="23">
        <v>16283</v>
      </c>
      <c r="X28" s="23"/>
      <c r="Y28" s="23">
        <v>0</v>
      </c>
      <c r="Z28" s="23"/>
      <c r="AA28" s="23">
        <v>0</v>
      </c>
      <c r="AB28" s="23"/>
      <c r="AC28" s="23">
        <v>0</v>
      </c>
      <c r="AD28" s="23"/>
      <c r="AE28" s="23">
        <f>SUM(O28:AC28)</f>
        <v>1214977</v>
      </c>
      <c r="AF28" s="23"/>
      <c r="AG28" s="23">
        <f>+M28-AE28</f>
        <v>312072</v>
      </c>
      <c r="AH28" s="23"/>
      <c r="AI28" s="23">
        <v>1579585</v>
      </c>
      <c r="AJ28" s="23"/>
      <c r="AK28" s="23">
        <f>+AI28-AG28</f>
        <v>1267513</v>
      </c>
    </row>
    <row r="29" spans="1:37" ht="12" customHeight="1">
      <c r="A29" s="15" t="s">
        <v>360</v>
      </c>
      <c r="B29" s="4"/>
      <c r="C29" s="15" t="s">
        <v>48</v>
      </c>
      <c r="D29" s="4"/>
      <c r="E29" s="15">
        <v>845878</v>
      </c>
      <c r="F29" s="4"/>
      <c r="G29" s="15">
        <v>27976</v>
      </c>
      <c r="H29" s="4"/>
      <c r="I29" s="15">
        <v>0</v>
      </c>
      <c r="J29" s="4"/>
      <c r="K29" s="15">
        <v>0</v>
      </c>
      <c r="L29" s="4"/>
      <c r="M29" s="23">
        <f>+E29-G29-I29-K29</f>
        <v>817902</v>
      </c>
      <c r="N29" s="4"/>
      <c r="O29" s="15">
        <v>0</v>
      </c>
      <c r="P29" s="4"/>
      <c r="Q29" s="4">
        <v>715681</v>
      </c>
      <c r="R29" s="4"/>
      <c r="S29" s="15">
        <v>0</v>
      </c>
      <c r="T29" s="4"/>
      <c r="U29" s="15">
        <v>13740</v>
      </c>
      <c r="V29" s="4"/>
      <c r="W29" s="15">
        <v>16288</v>
      </c>
      <c r="X29" s="4"/>
      <c r="Y29" s="15">
        <v>0</v>
      </c>
      <c r="Z29" s="4"/>
      <c r="AA29" s="15">
        <v>0</v>
      </c>
      <c r="AB29" s="4"/>
      <c r="AC29" s="15">
        <v>0</v>
      </c>
      <c r="AD29" s="4"/>
      <c r="AE29" s="23">
        <f>SUM(O29:AC29)</f>
        <v>745709</v>
      </c>
      <c r="AF29" s="4"/>
      <c r="AG29" s="23">
        <f>+M29-AE29</f>
        <v>72193</v>
      </c>
      <c r="AH29" s="4"/>
      <c r="AI29" s="15">
        <v>864982</v>
      </c>
      <c r="AJ29" s="4"/>
      <c r="AK29" s="23">
        <f>+AI29-AG29</f>
        <v>792789</v>
      </c>
    </row>
    <row r="30" spans="1:37" ht="12" customHeight="1">
      <c r="A30" s="15" t="s">
        <v>572</v>
      </c>
      <c r="B30" s="4"/>
      <c r="C30" s="15" t="s">
        <v>49</v>
      </c>
      <c r="D30" s="4"/>
      <c r="E30" s="15">
        <v>2926366</v>
      </c>
      <c r="F30" s="4"/>
      <c r="G30" s="15">
        <v>71151</v>
      </c>
      <c r="H30" s="4"/>
      <c r="I30" s="15">
        <v>17335</v>
      </c>
      <c r="J30" s="4"/>
      <c r="K30" s="15">
        <v>12247</v>
      </c>
      <c r="L30" s="4"/>
      <c r="M30" s="23">
        <f>+E30-G30-I30-K30</f>
        <v>2825633</v>
      </c>
      <c r="N30" s="4"/>
      <c r="O30" s="15">
        <v>0</v>
      </c>
      <c r="P30" s="4"/>
      <c r="Q30" s="4">
        <v>2635762</v>
      </c>
      <c r="R30" s="4"/>
      <c r="S30" s="15">
        <v>0</v>
      </c>
      <c r="T30" s="4"/>
      <c r="U30" s="15">
        <v>18994</v>
      </c>
      <c r="V30" s="4"/>
      <c r="W30" s="15">
        <v>18049</v>
      </c>
      <c r="X30" s="4"/>
      <c r="Y30" s="15">
        <v>0</v>
      </c>
      <c r="Z30" s="4"/>
      <c r="AA30" s="15">
        <v>0</v>
      </c>
      <c r="AB30" s="4"/>
      <c r="AC30" s="15">
        <v>0</v>
      </c>
      <c r="AD30" s="4"/>
      <c r="AE30" s="23">
        <f>SUM(O30:AC30)</f>
        <v>2672805</v>
      </c>
      <c r="AF30" s="4"/>
      <c r="AG30" s="23">
        <f>+M30-AE30</f>
        <v>152828</v>
      </c>
      <c r="AH30" s="4"/>
      <c r="AI30" s="15">
        <v>719175</v>
      </c>
      <c r="AJ30" s="4"/>
      <c r="AK30" s="23">
        <f>+AI30-AG30</f>
        <v>566347</v>
      </c>
    </row>
    <row r="31" spans="1:37" ht="12" customHeight="1">
      <c r="A31" s="4" t="s">
        <v>115</v>
      </c>
      <c r="B31" s="4"/>
      <c r="C31" s="4" t="s">
        <v>116</v>
      </c>
      <c r="D31" s="4"/>
      <c r="E31" s="4">
        <v>7382399</v>
      </c>
      <c r="F31" s="4"/>
      <c r="G31" s="4">
        <v>337004</v>
      </c>
      <c r="H31" s="4"/>
      <c r="I31" s="4">
        <v>41368</v>
      </c>
      <c r="J31" s="4"/>
      <c r="K31" s="4">
        <v>0</v>
      </c>
      <c r="L31" s="4"/>
      <c r="M31" s="23">
        <f>+E31-G31-I31-K31</f>
        <v>7004027</v>
      </c>
      <c r="N31" s="4"/>
      <c r="O31" s="4">
        <v>1072150</v>
      </c>
      <c r="P31" s="4"/>
      <c r="Q31" s="4">
        <f>312268+5894210</f>
        <v>6206478</v>
      </c>
      <c r="R31" s="4"/>
      <c r="S31" s="4">
        <v>55249</v>
      </c>
      <c r="T31" s="4"/>
      <c r="U31" s="4">
        <v>167634</v>
      </c>
      <c r="V31" s="4"/>
      <c r="W31" s="4">
        <f>28427-1</f>
        <v>28426</v>
      </c>
      <c r="X31" s="4"/>
      <c r="Y31" s="4">
        <v>0</v>
      </c>
      <c r="Z31" s="4"/>
      <c r="AA31" s="4">
        <v>0</v>
      </c>
      <c r="AB31" s="4"/>
      <c r="AC31" s="4">
        <v>0</v>
      </c>
      <c r="AD31" s="4"/>
      <c r="AE31" s="23">
        <f>SUM(O31:AC31)</f>
        <v>7529937</v>
      </c>
      <c r="AF31" s="4"/>
      <c r="AG31" s="23">
        <f>+M31-AE31</f>
        <v>-525910</v>
      </c>
      <c r="AH31" s="4"/>
      <c r="AI31" s="4">
        <v>6370959</v>
      </c>
      <c r="AJ31" s="4"/>
      <c r="AK31" s="23">
        <f>+AI31-AG31</f>
        <v>6896869</v>
      </c>
    </row>
    <row r="32" spans="1:37" ht="12" customHeight="1">
      <c r="A32" s="12" t="s">
        <v>427</v>
      </c>
      <c r="B32" s="15"/>
      <c r="C32" s="15" t="s">
        <v>19</v>
      </c>
      <c r="D32" s="15"/>
      <c r="E32" s="23">
        <v>8555752</v>
      </c>
      <c r="F32" s="23"/>
      <c r="G32" s="23">
        <v>126657</v>
      </c>
      <c r="H32" s="23"/>
      <c r="I32" s="23">
        <v>6558</v>
      </c>
      <c r="J32" s="23"/>
      <c r="K32" s="23">
        <v>0</v>
      </c>
      <c r="L32" s="23"/>
      <c r="M32" s="23">
        <f>+E32-G32-I32-K32</f>
        <v>8422537</v>
      </c>
      <c r="N32" s="23"/>
      <c r="O32" s="23">
        <v>4019850</v>
      </c>
      <c r="P32" s="23"/>
      <c r="Q32" s="23">
        <v>3506609</v>
      </c>
      <c r="R32" s="23"/>
      <c r="S32" s="23">
        <v>0</v>
      </c>
      <c r="T32" s="23"/>
      <c r="U32" s="23">
        <v>67337</v>
      </c>
      <c r="V32" s="23"/>
      <c r="W32" s="23">
        <v>1890</v>
      </c>
      <c r="X32" s="23"/>
      <c r="Y32" s="23">
        <v>0</v>
      </c>
      <c r="Z32" s="23"/>
      <c r="AA32" s="23">
        <v>0</v>
      </c>
      <c r="AB32" s="23"/>
      <c r="AC32" s="23">
        <v>0</v>
      </c>
      <c r="AD32" s="23"/>
      <c r="AE32" s="23">
        <f>SUM(O32:AC32)</f>
        <v>7595686</v>
      </c>
      <c r="AF32" s="23"/>
      <c r="AG32" s="23">
        <f>+M32-AE32</f>
        <v>826851</v>
      </c>
      <c r="AH32" s="23"/>
      <c r="AI32" s="23">
        <v>21893488</v>
      </c>
      <c r="AJ32" s="23"/>
      <c r="AK32" s="23">
        <f>+AI32-AG32</f>
        <v>21066637</v>
      </c>
    </row>
    <row r="33" spans="1:37" ht="12" customHeight="1">
      <c r="A33" s="12" t="s">
        <v>428</v>
      </c>
      <c r="B33" s="12"/>
      <c r="C33" s="12" t="s">
        <v>19</v>
      </c>
      <c r="D33" s="15"/>
      <c r="E33" s="23">
        <v>75609624</v>
      </c>
      <c r="F33" s="23"/>
      <c r="G33" s="23">
        <v>3330119</v>
      </c>
      <c r="H33" s="23"/>
      <c r="I33" s="23">
        <v>1408580</v>
      </c>
      <c r="J33" s="23"/>
      <c r="K33" s="23">
        <v>0</v>
      </c>
      <c r="L33" s="23"/>
      <c r="M33" s="23">
        <f>+E33-G33-I33-K33</f>
        <v>70870925</v>
      </c>
      <c r="N33" s="23"/>
      <c r="O33" s="23">
        <v>28815253</v>
      </c>
      <c r="P33" s="23"/>
      <c r="Q33" s="23">
        <v>0</v>
      </c>
      <c r="R33" s="23"/>
      <c r="S33" s="23">
        <v>32115428</v>
      </c>
      <c r="T33" s="23"/>
      <c r="U33" s="23">
        <f>2123795-2954228</f>
        <v>-830433</v>
      </c>
      <c r="V33" s="23"/>
      <c r="W33" s="23">
        <v>488759</v>
      </c>
      <c r="X33" s="23"/>
      <c r="Y33" s="23">
        <v>0</v>
      </c>
      <c r="Z33" s="23"/>
      <c r="AA33" s="23">
        <v>0</v>
      </c>
      <c r="AB33" s="23"/>
      <c r="AC33" s="23">
        <v>0</v>
      </c>
      <c r="AD33" s="23"/>
      <c r="AE33" s="23">
        <f>SUM(O33:AC33)</f>
        <v>60589007</v>
      </c>
      <c r="AF33" s="23"/>
      <c r="AG33" s="23">
        <f>+M33-AE33</f>
        <v>10281918</v>
      </c>
      <c r="AH33" s="23"/>
      <c r="AI33" s="23">
        <v>180164078</v>
      </c>
      <c r="AJ33" s="23"/>
      <c r="AK33" s="23">
        <f>+AI33-AG33</f>
        <v>169882160</v>
      </c>
    </row>
    <row r="34" spans="1:37" ht="12" customHeight="1">
      <c r="A34" s="4" t="s">
        <v>72</v>
      </c>
      <c r="B34" s="4"/>
      <c r="C34" s="4" t="s">
        <v>50</v>
      </c>
      <c r="D34" s="4"/>
      <c r="E34" s="4">
        <v>268865</v>
      </c>
      <c r="F34" s="4"/>
      <c r="G34" s="4">
        <v>8079</v>
      </c>
      <c r="H34" s="4"/>
      <c r="I34" s="4">
        <v>0</v>
      </c>
      <c r="J34" s="4"/>
      <c r="K34" s="4">
        <v>0</v>
      </c>
      <c r="L34" s="4"/>
      <c r="M34" s="23">
        <f>+E34-G34-I34-K34</f>
        <v>260786</v>
      </c>
      <c r="N34" s="4"/>
      <c r="O34" s="4">
        <v>0</v>
      </c>
      <c r="P34" s="4"/>
      <c r="Q34" s="4">
        <v>252841</v>
      </c>
      <c r="R34" s="4"/>
      <c r="S34" s="4">
        <v>0</v>
      </c>
      <c r="T34" s="4"/>
      <c r="U34" s="4">
        <v>2433</v>
      </c>
      <c r="V34" s="4"/>
      <c r="W34" s="4">
        <v>1296</v>
      </c>
      <c r="X34" s="4"/>
      <c r="Y34" s="4">
        <v>0</v>
      </c>
      <c r="Z34" s="4"/>
      <c r="AA34" s="4">
        <v>0</v>
      </c>
      <c r="AB34" s="4"/>
      <c r="AC34" s="4">
        <v>0</v>
      </c>
      <c r="AD34" s="4"/>
      <c r="AE34" s="23">
        <f>SUM(O34:AC34)</f>
        <v>256570</v>
      </c>
      <c r="AF34" s="4"/>
      <c r="AG34" s="23">
        <f>+M34-AE34</f>
        <v>4216</v>
      </c>
      <c r="AH34" s="4"/>
      <c r="AI34" s="4">
        <v>85004</v>
      </c>
      <c r="AJ34" s="4"/>
      <c r="AK34" s="23">
        <f>+AI34-AG34</f>
        <v>80788</v>
      </c>
    </row>
    <row r="35" spans="1:37" ht="12" customHeight="1">
      <c r="A35" s="15" t="s">
        <v>363</v>
      </c>
      <c r="B35" s="15"/>
      <c r="C35" s="15" t="s">
        <v>70</v>
      </c>
      <c r="D35" s="15"/>
      <c r="E35" s="23">
        <v>671943</v>
      </c>
      <c r="F35" s="23"/>
      <c r="G35" s="23">
        <v>22028</v>
      </c>
      <c r="H35" s="23"/>
      <c r="I35" s="23">
        <v>7400</v>
      </c>
      <c r="J35" s="23"/>
      <c r="K35" s="23">
        <v>0</v>
      </c>
      <c r="L35" s="23"/>
      <c r="M35" s="23">
        <f>+E35-G35-I35-K35</f>
        <v>642515</v>
      </c>
      <c r="N35" s="23"/>
      <c r="O35" s="23">
        <v>0</v>
      </c>
      <c r="P35" s="23"/>
      <c r="Q35" s="23">
        <v>629258</v>
      </c>
      <c r="R35" s="23"/>
      <c r="S35" s="23">
        <v>0</v>
      </c>
      <c r="T35" s="23"/>
      <c r="U35" s="23">
        <v>12428</v>
      </c>
      <c r="V35" s="23"/>
      <c r="W35" s="23">
        <v>387</v>
      </c>
      <c r="X35" s="23"/>
      <c r="Y35" s="23">
        <v>0</v>
      </c>
      <c r="Z35" s="23"/>
      <c r="AA35" s="23">
        <v>0</v>
      </c>
      <c r="AB35" s="23"/>
      <c r="AC35" s="23">
        <v>0</v>
      </c>
      <c r="AD35" s="23"/>
      <c r="AE35" s="23">
        <f>SUM(O35:AC35)</f>
        <v>642073</v>
      </c>
      <c r="AF35" s="23"/>
      <c r="AG35" s="23">
        <f>+M35-AE35</f>
        <v>442</v>
      </c>
      <c r="AH35" s="23"/>
      <c r="AI35" s="23">
        <v>485414</v>
      </c>
      <c r="AJ35" s="23"/>
      <c r="AK35" s="23">
        <f>+AI35-AG35</f>
        <v>484972</v>
      </c>
    </row>
    <row r="36" spans="1:37" ht="12" customHeight="1">
      <c r="A36" s="12" t="s">
        <v>364</v>
      </c>
      <c r="B36" s="15"/>
      <c r="C36" s="15" t="s">
        <v>52</v>
      </c>
      <c r="D36" s="15"/>
      <c r="E36" s="23">
        <v>506958</v>
      </c>
      <c r="F36" s="23"/>
      <c r="G36" s="23">
        <v>13251</v>
      </c>
      <c r="H36" s="23"/>
      <c r="I36" s="23">
        <v>0</v>
      </c>
      <c r="J36" s="23"/>
      <c r="K36" s="23">
        <v>0</v>
      </c>
      <c r="L36" s="23"/>
      <c r="M36" s="23">
        <f>+E36-G36-I36-K36</f>
        <v>493707</v>
      </c>
      <c r="N36" s="23"/>
      <c r="O36" s="23">
        <v>0</v>
      </c>
      <c r="P36" s="23"/>
      <c r="Q36" s="23">
        <v>532799</v>
      </c>
      <c r="R36" s="23"/>
      <c r="S36" s="23">
        <v>0</v>
      </c>
      <c r="T36" s="23"/>
      <c r="U36" s="23">
        <v>79715</v>
      </c>
      <c r="V36" s="23"/>
      <c r="W36" s="23">
        <v>4400</v>
      </c>
      <c r="X36" s="23"/>
      <c r="Y36" s="23">
        <v>0</v>
      </c>
      <c r="Z36" s="23"/>
      <c r="AA36" s="23">
        <v>0</v>
      </c>
      <c r="AB36" s="23"/>
      <c r="AC36" s="23">
        <v>0</v>
      </c>
      <c r="AD36" s="23"/>
      <c r="AE36" s="23">
        <f>SUM(O36:AC36)</f>
        <v>616914</v>
      </c>
      <c r="AF36" s="23"/>
      <c r="AG36" s="23">
        <f>+M36-AE36</f>
        <v>-123207</v>
      </c>
      <c r="AH36" s="23"/>
      <c r="AI36" s="23">
        <v>2714083</v>
      </c>
      <c r="AJ36" s="23"/>
      <c r="AK36" s="23">
        <f>+AI36-AG36</f>
        <v>2837290</v>
      </c>
    </row>
    <row r="37" spans="1:37" ht="12" customHeight="1">
      <c r="A37" s="12" t="s">
        <v>123</v>
      </c>
      <c r="B37" s="15"/>
      <c r="C37" s="15" t="s">
        <v>19</v>
      </c>
      <c r="D37" s="15"/>
      <c r="E37" s="23">
        <v>65949007</v>
      </c>
      <c r="F37" s="23"/>
      <c r="G37" s="23">
        <v>1083144</v>
      </c>
      <c r="H37" s="23"/>
      <c r="I37" s="23">
        <v>661813</v>
      </c>
      <c r="J37" s="23"/>
      <c r="K37" s="23">
        <v>0</v>
      </c>
      <c r="L37" s="23"/>
      <c r="M37" s="23">
        <f>+E37-G37-I37-K37</f>
        <v>64204050</v>
      </c>
      <c r="N37" s="23"/>
      <c r="O37" s="23">
        <v>29659767</v>
      </c>
      <c r="P37" s="23"/>
      <c r="Q37" s="23">
        <v>29893078</v>
      </c>
      <c r="R37" s="23"/>
      <c r="S37" s="23">
        <v>0</v>
      </c>
      <c r="T37" s="23"/>
      <c r="U37" s="23">
        <v>948649</v>
      </c>
      <c r="V37" s="23"/>
      <c r="W37" s="23">
        <f>14421+33833</f>
        <v>48254</v>
      </c>
      <c r="X37" s="23"/>
      <c r="Y37" s="23">
        <v>0</v>
      </c>
      <c r="Z37" s="23"/>
      <c r="AA37" s="23">
        <v>0</v>
      </c>
      <c r="AB37" s="23"/>
      <c r="AC37" s="23">
        <v>0</v>
      </c>
      <c r="AD37" s="23"/>
      <c r="AE37" s="23">
        <f>SUM(O37:AC37)</f>
        <v>60549748</v>
      </c>
      <c r="AF37" s="23"/>
      <c r="AG37" s="23">
        <f>+M37-AE37</f>
        <v>3654302</v>
      </c>
      <c r="AH37" s="23"/>
      <c r="AI37" s="23">
        <v>86052093</v>
      </c>
      <c r="AJ37" s="23"/>
      <c r="AK37" s="23">
        <f>+AI37-AG37</f>
        <v>82397791</v>
      </c>
    </row>
    <row r="38" spans="1:37" ht="12" customHeight="1">
      <c r="A38" s="3" t="s">
        <v>124</v>
      </c>
      <c r="B38" s="12"/>
      <c r="C38" s="3" t="s">
        <v>55</v>
      </c>
      <c r="D38" s="15"/>
      <c r="E38" s="17">
        <v>29192722</v>
      </c>
      <c r="F38" s="23"/>
      <c r="G38" s="17">
        <v>726003</v>
      </c>
      <c r="H38" s="23"/>
      <c r="I38" s="17">
        <v>84119</v>
      </c>
      <c r="J38" s="23"/>
      <c r="K38" s="17">
        <v>0</v>
      </c>
      <c r="L38" s="23"/>
      <c r="M38" s="23">
        <f>+E38-G38-I38-K38</f>
        <v>28382600</v>
      </c>
      <c r="N38" s="23"/>
      <c r="O38" s="17">
        <v>8303677</v>
      </c>
      <c r="P38" s="23"/>
      <c r="Q38" s="23">
        <v>20760585</v>
      </c>
      <c r="R38" s="23"/>
      <c r="S38" s="17">
        <v>21861</v>
      </c>
      <c r="T38" s="23"/>
      <c r="U38" s="17">
        <v>598174</v>
      </c>
      <c r="V38" s="23"/>
      <c r="W38" s="17">
        <f>208+149361+1</f>
        <v>149570</v>
      </c>
      <c r="X38" s="23"/>
      <c r="Y38" s="17">
        <v>0</v>
      </c>
      <c r="Z38" s="23"/>
      <c r="AA38" s="17">
        <v>0</v>
      </c>
      <c r="AB38" s="23"/>
      <c r="AC38" s="17">
        <v>0</v>
      </c>
      <c r="AD38" s="23"/>
      <c r="AE38" s="23">
        <f>SUM(O38:AC38)</f>
        <v>29833867</v>
      </c>
      <c r="AF38" s="23"/>
      <c r="AG38" s="23">
        <f>+M38-AE38</f>
        <v>-1451267</v>
      </c>
      <c r="AH38" s="23"/>
      <c r="AI38" s="17">
        <v>20759420</v>
      </c>
      <c r="AJ38" s="23"/>
      <c r="AK38" s="23">
        <f>+AI38-AG38</f>
        <v>22210687</v>
      </c>
    </row>
    <row r="39" spans="1:37" ht="12" customHeight="1">
      <c r="A39" s="12" t="s">
        <v>127</v>
      </c>
      <c r="B39" s="12"/>
      <c r="C39" s="12" t="s">
        <v>70</v>
      </c>
      <c r="D39" s="15"/>
      <c r="E39" s="23">
        <v>2760835</v>
      </c>
      <c r="F39" s="23"/>
      <c r="G39" s="23">
        <v>58256</v>
      </c>
      <c r="H39" s="23"/>
      <c r="I39" s="23">
        <v>53460</v>
      </c>
      <c r="J39" s="23"/>
      <c r="K39" s="23">
        <v>0</v>
      </c>
      <c r="L39" s="23"/>
      <c r="M39" s="23">
        <f>+E39-G39-I39-K39</f>
        <v>2649119</v>
      </c>
      <c r="N39" s="23"/>
      <c r="O39" s="23">
        <f>250082</f>
        <v>250082</v>
      </c>
      <c r="P39" s="23"/>
      <c r="Q39" s="23">
        <v>2027746</v>
      </c>
      <c r="R39" s="23"/>
      <c r="S39" s="23">
        <v>12522</v>
      </c>
      <c r="T39" s="23"/>
      <c r="U39" s="23">
        <v>67869</v>
      </c>
      <c r="V39" s="23"/>
      <c r="W39" s="23">
        <v>36574</v>
      </c>
      <c r="X39" s="23"/>
      <c r="Y39" s="23">
        <v>0</v>
      </c>
      <c r="Z39" s="23"/>
      <c r="AA39" s="23">
        <v>0</v>
      </c>
      <c r="AB39" s="23"/>
      <c r="AC39" s="23">
        <v>0</v>
      </c>
      <c r="AD39" s="23"/>
      <c r="AE39" s="23">
        <f>SUM(O39:AC39)</f>
        <v>2394793</v>
      </c>
      <c r="AF39" s="23"/>
      <c r="AG39" s="23">
        <f>+M39-AE39</f>
        <v>254326</v>
      </c>
      <c r="AH39" s="23"/>
      <c r="AI39" s="23">
        <v>2226894</v>
      </c>
      <c r="AJ39" s="23"/>
      <c r="AK39" s="23">
        <f>+AI39-AG39</f>
        <v>1972568</v>
      </c>
    </row>
    <row r="40" spans="1:37" ht="12" customHeight="1">
      <c r="A40" s="15" t="s">
        <v>513</v>
      </c>
      <c r="B40" s="4"/>
      <c r="C40" s="15" t="s">
        <v>19</v>
      </c>
      <c r="D40" s="4"/>
      <c r="E40" s="15">
        <v>0</v>
      </c>
      <c r="F40" s="4"/>
      <c r="G40" s="15">
        <v>0</v>
      </c>
      <c r="H40" s="4"/>
      <c r="I40" s="15">
        <v>0</v>
      </c>
      <c r="J40" s="4"/>
      <c r="K40" s="15">
        <v>0</v>
      </c>
      <c r="L40" s="4"/>
      <c r="M40" s="23">
        <f>+E40-G40-I40-K40</f>
        <v>0</v>
      </c>
      <c r="N40" s="4"/>
      <c r="O40" s="15">
        <v>0</v>
      </c>
      <c r="P40" s="4"/>
      <c r="Q40" s="4">
        <v>0</v>
      </c>
      <c r="R40" s="4"/>
      <c r="S40" s="15">
        <v>0</v>
      </c>
      <c r="T40" s="4"/>
      <c r="U40" s="15">
        <v>24</v>
      </c>
      <c r="V40" s="4"/>
      <c r="W40" s="15">
        <v>0</v>
      </c>
      <c r="X40" s="4"/>
      <c r="Y40" s="15">
        <v>0</v>
      </c>
      <c r="Z40" s="4"/>
      <c r="AA40" s="15">
        <v>0</v>
      </c>
      <c r="AB40" s="4"/>
      <c r="AC40" s="15">
        <v>0</v>
      </c>
      <c r="AD40" s="4"/>
      <c r="AE40" s="23">
        <f>SUM(O40:AC40)</f>
        <v>24</v>
      </c>
      <c r="AF40" s="4"/>
      <c r="AG40" s="23">
        <f>+M40-AE40</f>
        <v>-24</v>
      </c>
      <c r="AH40" s="4"/>
      <c r="AI40" s="15">
        <v>5572</v>
      </c>
      <c r="AJ40" s="4"/>
      <c r="AK40" s="23">
        <f>+AI40-AG40</f>
        <v>5596</v>
      </c>
    </row>
    <row r="41" spans="1:37" ht="12" customHeight="1">
      <c r="A41" s="12" t="s">
        <v>429</v>
      </c>
      <c r="B41" s="12"/>
      <c r="C41" s="12" t="s">
        <v>20</v>
      </c>
      <c r="D41" s="15"/>
      <c r="E41" s="23">
        <v>2553622</v>
      </c>
      <c r="F41" s="23"/>
      <c r="G41" s="23">
        <v>53898</v>
      </c>
      <c r="H41" s="23"/>
      <c r="I41" s="23">
        <v>14561</v>
      </c>
      <c r="J41" s="23"/>
      <c r="K41" s="23">
        <v>0</v>
      </c>
      <c r="L41" s="23"/>
      <c r="M41" s="23">
        <f>+E41-G41-I41-K41</f>
        <v>2485163</v>
      </c>
      <c r="N41" s="23"/>
      <c r="O41" s="23">
        <f>917821+1060010</f>
        <v>1977831</v>
      </c>
      <c r="P41" s="23"/>
      <c r="Q41" s="23">
        <v>141256</v>
      </c>
      <c r="R41" s="23"/>
      <c r="S41" s="23">
        <v>857</v>
      </c>
      <c r="T41" s="23"/>
      <c r="U41" s="23">
        <v>106934</v>
      </c>
      <c r="V41" s="23"/>
      <c r="W41" s="23">
        <v>3943</v>
      </c>
      <c r="X41" s="23"/>
      <c r="Y41" s="23">
        <v>0</v>
      </c>
      <c r="Z41" s="23"/>
      <c r="AA41" s="23">
        <v>0</v>
      </c>
      <c r="AB41" s="23"/>
      <c r="AC41" s="23">
        <v>0</v>
      </c>
      <c r="AD41" s="23"/>
      <c r="AE41" s="23">
        <f>SUM(O41:AC41)</f>
        <v>2230821</v>
      </c>
      <c r="AF41" s="23"/>
      <c r="AG41" s="23">
        <f>+M41-AE41</f>
        <v>254342</v>
      </c>
      <c r="AH41" s="23"/>
      <c r="AI41" s="23">
        <v>2274428</v>
      </c>
      <c r="AJ41" s="23"/>
      <c r="AK41" s="23">
        <f>+AI41-AG41</f>
        <v>2020086</v>
      </c>
    </row>
    <row r="42" spans="1:37" s="4" customFormat="1" ht="12">
      <c r="A42" s="12" t="s">
        <v>18</v>
      </c>
      <c r="B42" s="12"/>
      <c r="C42" s="12" t="s">
        <v>19</v>
      </c>
      <c r="D42" s="15"/>
      <c r="E42" s="23">
        <v>5156448</v>
      </c>
      <c r="F42" s="23"/>
      <c r="G42" s="23">
        <v>112991</v>
      </c>
      <c r="H42" s="23"/>
      <c r="I42" s="23">
        <v>0</v>
      </c>
      <c r="J42" s="23"/>
      <c r="K42" s="23">
        <v>0</v>
      </c>
      <c r="L42" s="23"/>
      <c r="M42" s="23">
        <f>+E42-G42-I42-K42</f>
        <v>5043457</v>
      </c>
      <c r="N42" s="23"/>
      <c r="O42" s="23">
        <v>2397758</v>
      </c>
      <c r="P42" s="23"/>
      <c r="Q42" s="23">
        <v>2658831</v>
      </c>
      <c r="R42" s="23"/>
      <c r="S42" s="23">
        <v>925</v>
      </c>
      <c r="T42" s="23"/>
      <c r="U42" s="23">
        <v>163137</v>
      </c>
      <c r="V42" s="23"/>
      <c r="W42" s="23">
        <v>19174</v>
      </c>
      <c r="X42" s="23"/>
      <c r="Y42" s="23">
        <v>0</v>
      </c>
      <c r="Z42" s="23"/>
      <c r="AA42" s="23">
        <v>0</v>
      </c>
      <c r="AB42" s="23"/>
      <c r="AC42" s="23">
        <v>0</v>
      </c>
      <c r="AD42" s="23"/>
      <c r="AE42" s="23">
        <f>SUM(O42:AC42)</f>
        <v>5239825</v>
      </c>
      <c r="AF42" s="23"/>
      <c r="AG42" s="23">
        <f>+M42-AE42</f>
        <v>-196368</v>
      </c>
      <c r="AH42" s="23"/>
      <c r="AI42" s="23">
        <v>3020217</v>
      </c>
      <c r="AJ42" s="23"/>
      <c r="AK42" s="23">
        <f>+AI42-AG42</f>
        <v>3216585</v>
      </c>
    </row>
    <row r="43" spans="1:37" s="4" customFormat="1" ht="12">
      <c r="A43" s="4" t="s">
        <v>138</v>
      </c>
      <c r="C43" s="4" t="s">
        <v>139</v>
      </c>
      <c r="E43" s="4">
        <v>4715377</v>
      </c>
      <c r="G43" s="4">
        <v>90867</v>
      </c>
      <c r="I43" s="4">
        <v>0</v>
      </c>
      <c r="K43" s="4">
        <v>0</v>
      </c>
      <c r="M43" s="23">
        <f>+E43-G43-I43-K43</f>
        <v>4624510</v>
      </c>
      <c r="O43" s="4">
        <v>0</v>
      </c>
      <c r="Q43" s="4">
        <v>2472731</v>
      </c>
      <c r="S43" s="4">
        <f>11646+3375</f>
        <v>15021</v>
      </c>
      <c r="U43" s="4">
        <v>57763</v>
      </c>
      <c r="W43" s="4">
        <v>92984</v>
      </c>
      <c r="Y43" s="4">
        <v>0</v>
      </c>
      <c r="AA43" s="4">
        <v>0</v>
      </c>
      <c r="AC43" s="4">
        <f>425699+979588+159980</f>
        <v>1565267</v>
      </c>
      <c r="AE43" s="23">
        <f>SUM(O43:AC43)</f>
        <v>4203766</v>
      </c>
      <c r="AG43" s="23">
        <f>+M43-AE43</f>
        <v>420744</v>
      </c>
      <c r="AI43" s="4">
        <v>2011587</v>
      </c>
      <c r="AK43" s="23">
        <f>+AI43-AG43</f>
        <v>1590843</v>
      </c>
    </row>
    <row r="44" spans="1:37" s="4" customFormat="1" ht="12">
      <c r="A44" s="12" t="s">
        <v>367</v>
      </c>
      <c r="B44" s="15"/>
      <c r="C44" s="15" t="s">
        <v>54</v>
      </c>
      <c r="D44" s="15"/>
      <c r="E44" s="23">
        <v>1585294</v>
      </c>
      <c r="F44" s="23"/>
      <c r="G44" s="23">
        <v>54224</v>
      </c>
      <c r="H44" s="23"/>
      <c r="I44" s="23">
        <v>112192</v>
      </c>
      <c r="J44" s="23"/>
      <c r="K44" s="23">
        <v>0</v>
      </c>
      <c r="L44" s="23"/>
      <c r="M44" s="23">
        <f>+E44-G44-I44-K44</f>
        <v>1418878</v>
      </c>
      <c r="N44" s="23"/>
      <c r="O44" s="23">
        <v>0</v>
      </c>
      <c r="P44" s="23"/>
      <c r="Q44" s="23">
        <v>1304747</v>
      </c>
      <c r="R44" s="23"/>
      <c r="S44" s="23">
        <v>0</v>
      </c>
      <c r="T44" s="23"/>
      <c r="U44" s="23">
        <v>44546</v>
      </c>
      <c r="V44" s="23"/>
      <c r="W44" s="23">
        <v>253</v>
      </c>
      <c r="X44" s="23"/>
      <c r="Y44" s="23">
        <v>0</v>
      </c>
      <c r="Z44" s="23"/>
      <c r="AA44" s="23">
        <v>0</v>
      </c>
      <c r="AB44" s="23"/>
      <c r="AC44" s="23">
        <v>0</v>
      </c>
      <c r="AD44" s="23"/>
      <c r="AE44" s="23">
        <f>SUM(O44:AC44)</f>
        <v>1349546</v>
      </c>
      <c r="AF44" s="23"/>
      <c r="AG44" s="23">
        <f>+M44-AE44</f>
        <v>69332</v>
      </c>
      <c r="AH44" s="23"/>
      <c r="AI44" s="23">
        <v>1795857</v>
      </c>
      <c r="AJ44" s="23"/>
      <c r="AK44" s="23">
        <f>+AI44-AG44</f>
        <v>1726525</v>
      </c>
    </row>
    <row r="45" spans="1:37" s="4" customFormat="1" ht="12">
      <c r="A45" s="12" t="s">
        <v>369</v>
      </c>
      <c r="B45" s="15"/>
      <c r="C45" s="15" t="s">
        <v>55</v>
      </c>
      <c r="D45" s="15"/>
      <c r="E45" s="23">
        <v>2209626</v>
      </c>
      <c r="F45" s="23"/>
      <c r="G45" s="23">
        <v>14086</v>
      </c>
      <c r="H45" s="23"/>
      <c r="I45" s="23">
        <v>753284</v>
      </c>
      <c r="J45" s="23"/>
      <c r="K45" s="23">
        <v>9826</v>
      </c>
      <c r="L45" s="23"/>
      <c r="M45" s="23">
        <f>+E45-G45-I45-K45</f>
        <v>1432430</v>
      </c>
      <c r="N45" s="23"/>
      <c r="O45" s="23">
        <v>0</v>
      </c>
      <c r="P45" s="23"/>
      <c r="Q45" s="23">
        <v>92910</v>
      </c>
      <c r="R45" s="23"/>
      <c r="S45" s="23">
        <v>0</v>
      </c>
      <c r="T45" s="23"/>
      <c r="U45" s="23">
        <v>34998</v>
      </c>
      <c r="V45" s="23"/>
      <c r="W45" s="23">
        <v>2892</v>
      </c>
      <c r="X45" s="23"/>
      <c r="Y45" s="23">
        <v>0</v>
      </c>
      <c r="Z45" s="23"/>
      <c r="AA45" s="23">
        <v>0</v>
      </c>
      <c r="AB45" s="23"/>
      <c r="AC45" s="23">
        <v>0</v>
      </c>
      <c r="AD45" s="23"/>
      <c r="AE45" s="23">
        <f>SUM(O45:AC45)</f>
        <v>130800</v>
      </c>
      <c r="AF45" s="23"/>
      <c r="AG45" s="23">
        <f>+M45-AE45</f>
        <v>1301630</v>
      </c>
      <c r="AH45" s="23"/>
      <c r="AI45" s="23">
        <v>1812223</v>
      </c>
      <c r="AJ45" s="23"/>
      <c r="AK45" s="23">
        <f>+AI45-AG45</f>
        <v>510593</v>
      </c>
    </row>
    <row r="46" spans="1:37" s="4" customFormat="1" ht="12">
      <c r="A46" s="4" t="s">
        <v>34</v>
      </c>
      <c r="B46" s="15"/>
      <c r="C46" s="4" t="s">
        <v>56</v>
      </c>
      <c r="D46" s="15"/>
      <c r="E46" s="17">
        <v>863739</v>
      </c>
      <c r="F46" s="23"/>
      <c r="G46" s="17">
        <v>11102</v>
      </c>
      <c r="H46" s="23"/>
      <c r="I46" s="17">
        <v>5000</v>
      </c>
      <c r="J46" s="23"/>
      <c r="K46" s="17">
        <v>0</v>
      </c>
      <c r="L46" s="23"/>
      <c r="M46" s="23">
        <f>+E46-G46-I46-K46</f>
        <v>847637</v>
      </c>
      <c r="N46" s="23"/>
      <c r="O46" s="17">
        <v>0</v>
      </c>
      <c r="P46" s="23"/>
      <c r="Q46" s="23">
        <v>808757</v>
      </c>
      <c r="R46" s="23"/>
      <c r="S46" s="17">
        <v>0</v>
      </c>
      <c r="T46" s="23"/>
      <c r="U46" s="17">
        <v>25373</v>
      </c>
      <c r="V46" s="23"/>
      <c r="W46" s="17">
        <v>5308</v>
      </c>
      <c r="X46" s="23"/>
      <c r="Y46" s="17">
        <v>0</v>
      </c>
      <c r="Z46" s="23"/>
      <c r="AA46" s="17">
        <v>0</v>
      </c>
      <c r="AB46" s="23"/>
      <c r="AC46" s="17">
        <v>0</v>
      </c>
      <c r="AD46" s="23"/>
      <c r="AE46" s="23">
        <f>SUM(O46:AC46)</f>
        <v>839438</v>
      </c>
      <c r="AF46" s="23"/>
      <c r="AG46" s="23">
        <f>+M46-AE46</f>
        <v>8199</v>
      </c>
      <c r="AH46" s="23"/>
      <c r="AI46" s="17">
        <v>751642</v>
      </c>
      <c r="AJ46" s="23"/>
      <c r="AK46" s="23">
        <f>+AI46-AG46</f>
        <v>743443</v>
      </c>
    </row>
    <row r="47" spans="1:37" s="4" customFormat="1" ht="12">
      <c r="A47" s="4" t="s">
        <v>588</v>
      </c>
      <c r="C47" s="15" t="s">
        <v>43</v>
      </c>
      <c r="E47" s="4">
        <v>206769</v>
      </c>
      <c r="G47" s="4">
        <v>13757</v>
      </c>
      <c r="I47" s="4">
        <v>0</v>
      </c>
      <c r="K47" s="4">
        <v>0</v>
      </c>
      <c r="M47" s="23">
        <f>+E47-G47-I47-K47</f>
        <v>193012</v>
      </c>
      <c r="O47" s="4">
        <v>0</v>
      </c>
      <c r="Q47" s="4">
        <v>183908</v>
      </c>
      <c r="S47" s="4">
        <v>0</v>
      </c>
      <c r="U47" s="4">
        <v>16818</v>
      </c>
      <c r="W47" s="4">
        <v>7740</v>
      </c>
      <c r="Y47" s="4">
        <v>0</v>
      </c>
      <c r="AA47" s="4">
        <v>0</v>
      </c>
      <c r="AC47" s="4">
        <v>0</v>
      </c>
      <c r="AE47" s="23">
        <f>SUM(O47:AC47)</f>
        <v>208466</v>
      </c>
      <c r="AG47" s="23">
        <f>+M47-AE47</f>
        <v>-15454</v>
      </c>
      <c r="AI47" s="4">
        <v>368910</v>
      </c>
      <c r="AK47" s="23">
        <f>+AI47-AG47</f>
        <v>384364</v>
      </c>
    </row>
    <row r="48" spans="1:37" s="4" customFormat="1" ht="12">
      <c r="A48" s="12" t="s">
        <v>151</v>
      </c>
      <c r="B48" s="12"/>
      <c r="C48" s="12" t="s">
        <v>152</v>
      </c>
      <c r="D48" s="15"/>
      <c r="E48" s="23">
        <v>9838424</v>
      </c>
      <c r="F48" s="23"/>
      <c r="G48" s="23">
        <v>186518</v>
      </c>
      <c r="H48" s="23"/>
      <c r="I48" s="4">
        <v>0</v>
      </c>
      <c r="J48" s="23"/>
      <c r="K48" s="23">
        <v>0</v>
      </c>
      <c r="L48" s="23"/>
      <c r="M48" s="23">
        <f>+E48-G48-I48-K48</f>
        <v>9651906</v>
      </c>
      <c r="N48" s="23"/>
      <c r="O48" s="23">
        <v>3376481</v>
      </c>
      <c r="P48" s="23"/>
      <c r="Q48" s="23">
        <v>5293809</v>
      </c>
      <c r="R48" s="23"/>
      <c r="S48" s="4">
        <v>0</v>
      </c>
      <c r="T48" s="23"/>
      <c r="U48" s="23">
        <v>355697</v>
      </c>
      <c r="V48" s="23"/>
      <c r="W48" s="23">
        <v>79067</v>
      </c>
      <c r="X48" s="23"/>
      <c r="Y48" s="23">
        <v>0</v>
      </c>
      <c r="Z48" s="23"/>
      <c r="AA48" s="23">
        <v>650000</v>
      </c>
      <c r="AB48" s="23"/>
      <c r="AC48" s="23">
        <v>0</v>
      </c>
      <c r="AD48" s="23"/>
      <c r="AE48" s="23">
        <f>SUM(O48:AC48)</f>
        <v>9755054</v>
      </c>
      <c r="AF48" s="23"/>
      <c r="AG48" s="23">
        <f>+M48-AE48</f>
        <v>-103148</v>
      </c>
      <c r="AH48" s="23"/>
      <c r="AI48" s="23">
        <v>9763896</v>
      </c>
      <c r="AJ48" s="23"/>
      <c r="AK48" s="23">
        <f>+AI48-AG48</f>
        <v>9867044</v>
      </c>
    </row>
    <row r="49" spans="1:37" s="4" customFormat="1" ht="12">
      <c r="A49" s="3" t="s">
        <v>36</v>
      </c>
      <c r="B49" s="15"/>
      <c r="C49" s="4" t="s">
        <v>57</v>
      </c>
      <c r="D49" s="15"/>
      <c r="E49" s="17">
        <v>494616</v>
      </c>
      <c r="F49" s="23"/>
      <c r="G49" s="17">
        <v>13944</v>
      </c>
      <c r="H49" s="23"/>
      <c r="I49" s="17">
        <v>0</v>
      </c>
      <c r="J49" s="23"/>
      <c r="K49" s="17">
        <v>0</v>
      </c>
      <c r="L49" s="23"/>
      <c r="M49" s="23">
        <f>+E49-G49-I49-K49</f>
        <v>480672</v>
      </c>
      <c r="N49" s="23"/>
      <c r="O49" s="17">
        <v>176857</v>
      </c>
      <c r="P49" s="23"/>
      <c r="Q49" s="23">
        <v>402094</v>
      </c>
      <c r="R49" s="23"/>
      <c r="S49" s="17">
        <v>0</v>
      </c>
      <c r="T49" s="23"/>
      <c r="U49" s="17">
        <v>33839</v>
      </c>
      <c r="V49" s="23"/>
      <c r="W49" s="17">
        <v>72</v>
      </c>
      <c r="X49" s="23"/>
      <c r="Y49" s="17">
        <v>0</v>
      </c>
      <c r="Z49" s="23"/>
      <c r="AA49" s="17">
        <v>0</v>
      </c>
      <c r="AB49" s="23"/>
      <c r="AC49" s="17">
        <v>0</v>
      </c>
      <c r="AD49" s="23"/>
      <c r="AE49" s="23">
        <f>SUM(O49:AC49)</f>
        <v>612862</v>
      </c>
      <c r="AF49" s="23"/>
      <c r="AG49" s="23">
        <f>+M49-AE49</f>
        <v>-132190</v>
      </c>
      <c r="AH49" s="23"/>
      <c r="AI49" s="17">
        <v>1159246</v>
      </c>
      <c r="AJ49" s="23"/>
      <c r="AK49" s="23">
        <f>+AI49-AG49</f>
        <v>1291436</v>
      </c>
    </row>
    <row r="50" spans="1:37" s="4" customFormat="1" ht="12">
      <c r="A50" s="4" t="s">
        <v>515</v>
      </c>
      <c r="C50" s="4" t="s">
        <v>58</v>
      </c>
      <c r="E50" s="4">
        <v>1481853</v>
      </c>
      <c r="G50" s="4">
        <v>68020</v>
      </c>
      <c r="I50" s="4">
        <v>101715</v>
      </c>
      <c r="K50" s="4">
        <v>0</v>
      </c>
      <c r="M50" s="23">
        <f>+E50-G50-I50-K50</f>
        <v>1312118</v>
      </c>
      <c r="O50" s="4">
        <v>1390165</v>
      </c>
      <c r="Q50" s="4">
        <v>57981</v>
      </c>
      <c r="S50" s="4">
        <v>0</v>
      </c>
      <c r="U50" s="4">
        <v>0</v>
      </c>
      <c r="W50" s="4">
        <v>2315</v>
      </c>
      <c r="Y50" s="4">
        <v>0</v>
      </c>
      <c r="AA50" s="4">
        <v>0</v>
      </c>
      <c r="AC50" s="4">
        <v>0</v>
      </c>
      <c r="AE50" s="23">
        <f>SUM(O50:AC50)</f>
        <v>1450461</v>
      </c>
      <c r="AG50" s="23">
        <f>+M50-AE50</f>
        <v>-138343</v>
      </c>
      <c r="AI50" s="4">
        <v>2738512</v>
      </c>
      <c r="AK50" s="23">
        <f>+AI50-AG50</f>
        <v>2876855</v>
      </c>
    </row>
    <row r="51" spans="1:37" s="4" customFormat="1" ht="12">
      <c r="A51" s="4" t="s">
        <v>164</v>
      </c>
      <c r="B51" s="15"/>
      <c r="C51" s="4" t="s">
        <v>56</v>
      </c>
      <c r="D51" s="15"/>
      <c r="E51" s="17">
        <v>912644</v>
      </c>
      <c r="F51" s="23"/>
      <c r="G51" s="17">
        <v>18345</v>
      </c>
      <c r="H51" s="23"/>
      <c r="I51" s="17">
        <v>0</v>
      </c>
      <c r="J51" s="23"/>
      <c r="K51" s="17">
        <v>0</v>
      </c>
      <c r="L51" s="23"/>
      <c r="M51" s="23">
        <f>+E51-G51-I51-K51</f>
        <v>894299</v>
      </c>
      <c r="N51" s="23"/>
      <c r="O51" s="17">
        <v>808222</v>
      </c>
      <c r="P51" s="23"/>
      <c r="Q51" s="23">
        <v>14724</v>
      </c>
      <c r="R51" s="23"/>
      <c r="S51" s="17">
        <v>0</v>
      </c>
      <c r="T51" s="23"/>
      <c r="U51" s="17">
        <v>13997</v>
      </c>
      <c r="V51" s="23"/>
      <c r="W51" s="17">
        <v>579</v>
      </c>
      <c r="X51" s="23"/>
      <c r="Y51" s="17">
        <v>0</v>
      </c>
      <c r="Z51" s="23"/>
      <c r="AA51" s="17">
        <v>0</v>
      </c>
      <c r="AB51" s="23"/>
      <c r="AC51" s="17">
        <v>0</v>
      </c>
      <c r="AD51" s="23"/>
      <c r="AE51" s="23">
        <f>SUM(O51:AC51)</f>
        <v>837522</v>
      </c>
      <c r="AF51" s="23"/>
      <c r="AG51" s="23">
        <f>+M51-AE51</f>
        <v>56777</v>
      </c>
      <c r="AH51" s="23"/>
      <c r="AI51" s="17">
        <v>600315</v>
      </c>
      <c r="AJ51" s="23"/>
      <c r="AK51" s="23">
        <f>+AI51-AG51</f>
        <v>543538</v>
      </c>
    </row>
    <row r="52" spans="1:37" s="4" customFormat="1" ht="12">
      <c r="A52" s="12" t="s">
        <v>37</v>
      </c>
      <c r="B52" s="15"/>
      <c r="C52" s="15" t="s">
        <v>12</v>
      </c>
      <c r="D52" s="15"/>
      <c r="E52" s="23">
        <v>452769</v>
      </c>
      <c r="F52" s="23"/>
      <c r="G52" s="23">
        <v>11242</v>
      </c>
      <c r="H52" s="23"/>
      <c r="I52" s="23">
        <v>39760</v>
      </c>
      <c r="J52" s="23"/>
      <c r="K52" s="23">
        <v>0</v>
      </c>
      <c r="L52" s="23"/>
      <c r="M52" s="23">
        <f>+E52-G52-I52-K52</f>
        <v>401767</v>
      </c>
      <c r="N52" s="23"/>
      <c r="O52" s="23">
        <v>0</v>
      </c>
      <c r="P52" s="23"/>
      <c r="Q52" s="23">
        <v>374355</v>
      </c>
      <c r="R52" s="23"/>
      <c r="S52" s="23">
        <v>0</v>
      </c>
      <c r="T52" s="23"/>
      <c r="U52" s="23">
        <v>2675</v>
      </c>
      <c r="V52" s="23"/>
      <c r="W52" s="23">
        <v>1459</v>
      </c>
      <c r="X52" s="23"/>
      <c r="Y52" s="23">
        <v>0</v>
      </c>
      <c r="Z52" s="23"/>
      <c r="AA52" s="23">
        <v>0</v>
      </c>
      <c r="AB52" s="23"/>
      <c r="AC52" s="23">
        <v>0</v>
      </c>
      <c r="AD52" s="23"/>
      <c r="AE52" s="23">
        <f>SUM(O52:AC52)</f>
        <v>378489</v>
      </c>
      <c r="AF52" s="23"/>
      <c r="AG52" s="23">
        <f>+M52-AE52</f>
        <v>23278</v>
      </c>
      <c r="AH52" s="23"/>
      <c r="AI52" s="23">
        <v>156922</v>
      </c>
      <c r="AJ52" s="23"/>
      <c r="AK52" s="23">
        <f>+AI52-AG52</f>
        <v>133644</v>
      </c>
    </row>
    <row r="53" spans="1:37" s="4" customFormat="1" ht="12">
      <c r="A53" s="12" t="s">
        <v>571</v>
      </c>
      <c r="B53" s="15"/>
      <c r="C53" s="15" t="s">
        <v>59</v>
      </c>
      <c r="D53" s="15"/>
      <c r="E53" s="23">
        <v>566983</v>
      </c>
      <c r="F53" s="23"/>
      <c r="G53" s="23">
        <v>16971</v>
      </c>
      <c r="H53" s="23"/>
      <c r="I53" s="23">
        <v>0</v>
      </c>
      <c r="J53" s="23"/>
      <c r="K53" s="23">
        <v>0</v>
      </c>
      <c r="L53" s="23"/>
      <c r="M53" s="23">
        <f>+E53-G53-I53-K53</f>
        <v>550012</v>
      </c>
      <c r="N53" s="23"/>
      <c r="O53" s="23">
        <v>0</v>
      </c>
      <c r="P53" s="23"/>
      <c r="Q53" s="23">
        <v>525953</v>
      </c>
      <c r="R53" s="23"/>
      <c r="S53" s="23">
        <v>0</v>
      </c>
      <c r="T53" s="23"/>
      <c r="U53" s="23">
        <v>17142</v>
      </c>
      <c r="V53" s="23"/>
      <c r="W53" s="23">
        <v>8810</v>
      </c>
      <c r="X53" s="23"/>
      <c r="Y53" s="23">
        <v>0</v>
      </c>
      <c r="Z53" s="23"/>
      <c r="AA53" s="23">
        <v>0</v>
      </c>
      <c r="AB53" s="23"/>
      <c r="AC53" s="23">
        <v>0</v>
      </c>
      <c r="AD53" s="23"/>
      <c r="AE53" s="23">
        <f>SUM(O53:AC53)</f>
        <v>551905</v>
      </c>
      <c r="AF53" s="23"/>
      <c r="AG53" s="23">
        <f>+M53-AE53</f>
        <v>-1893</v>
      </c>
      <c r="AH53" s="23"/>
      <c r="AI53" s="23">
        <v>406437</v>
      </c>
      <c r="AJ53" s="23"/>
      <c r="AK53" s="23">
        <f>+AI53-AG53</f>
        <v>408330</v>
      </c>
    </row>
    <row r="54" spans="1:37" s="4" customFormat="1" ht="12">
      <c r="A54" s="3" t="s">
        <v>438</v>
      </c>
      <c r="B54" s="15"/>
      <c r="C54" s="4" t="s">
        <v>19</v>
      </c>
      <c r="D54" s="15"/>
      <c r="E54" s="17">
        <v>8709930</v>
      </c>
      <c r="F54" s="23"/>
      <c r="G54" s="17">
        <v>92885</v>
      </c>
      <c r="H54" s="23"/>
      <c r="I54" s="17">
        <v>0</v>
      </c>
      <c r="J54" s="23"/>
      <c r="K54" s="17">
        <v>0</v>
      </c>
      <c r="L54" s="23"/>
      <c r="M54" s="23">
        <f>+E54-G54-I54-K54</f>
        <v>8617045</v>
      </c>
      <c r="N54" s="23"/>
      <c r="O54" s="17">
        <v>2029670</v>
      </c>
      <c r="P54" s="23"/>
      <c r="Q54" s="23">
        <v>2599585</v>
      </c>
      <c r="R54" s="23"/>
      <c r="S54" s="17">
        <v>13532</v>
      </c>
      <c r="T54" s="23"/>
      <c r="U54" s="17">
        <v>176355</v>
      </c>
      <c r="V54" s="23"/>
      <c r="W54" s="17">
        <v>0</v>
      </c>
      <c r="X54" s="23"/>
      <c r="Y54" s="17">
        <v>0</v>
      </c>
      <c r="Z54" s="23"/>
      <c r="AA54" s="17">
        <v>0</v>
      </c>
      <c r="AB54" s="23"/>
      <c r="AC54" s="17">
        <v>0</v>
      </c>
      <c r="AD54" s="23"/>
      <c r="AE54" s="23">
        <f>SUM(O54:AC54)</f>
        <v>4819142</v>
      </c>
      <c r="AF54" s="23"/>
      <c r="AG54" s="23">
        <f>+M54-AE54</f>
        <v>3797903</v>
      </c>
      <c r="AH54" s="23"/>
      <c r="AI54" s="17">
        <v>8762848</v>
      </c>
      <c r="AJ54" s="23"/>
      <c r="AK54" s="23">
        <f>+AI54-AG54</f>
        <v>4964945</v>
      </c>
    </row>
    <row r="55" spans="1:37" ht="12" customHeight="1">
      <c r="A55" s="3" t="s">
        <v>9</v>
      </c>
      <c r="B55" s="15"/>
      <c r="C55" s="4" t="s">
        <v>10</v>
      </c>
      <c r="D55" s="15"/>
      <c r="E55" s="17">
        <v>7889036</v>
      </c>
      <c r="F55" s="23"/>
      <c r="G55" s="17">
        <v>237350</v>
      </c>
      <c r="H55" s="23"/>
      <c r="I55" s="17">
        <v>74725</v>
      </c>
      <c r="J55" s="23"/>
      <c r="K55" s="17">
        <v>0</v>
      </c>
      <c r="L55" s="23"/>
      <c r="M55" s="23">
        <f>+E55-G55-I55-K55</f>
        <v>7576961</v>
      </c>
      <c r="N55" s="23"/>
      <c r="O55" s="17">
        <v>0</v>
      </c>
      <c r="P55" s="23"/>
      <c r="Q55" s="23">
        <v>5904694</v>
      </c>
      <c r="R55" s="23"/>
      <c r="S55" s="17">
        <v>25181</v>
      </c>
      <c r="T55" s="23"/>
      <c r="U55" s="17">
        <v>255907</v>
      </c>
      <c r="V55" s="23"/>
      <c r="W55" s="17">
        <f>17146+1517</f>
        <v>18663</v>
      </c>
      <c r="X55" s="23"/>
      <c r="Y55" s="17">
        <v>0</v>
      </c>
      <c r="Z55" s="23"/>
      <c r="AA55" s="17">
        <v>0</v>
      </c>
      <c r="AB55" s="23"/>
      <c r="AC55" s="17">
        <v>0</v>
      </c>
      <c r="AD55" s="23"/>
      <c r="AE55" s="23">
        <f>SUM(O55:AC55)</f>
        <v>6204445</v>
      </c>
      <c r="AF55" s="23"/>
      <c r="AG55" s="23">
        <f>+M55-AE55</f>
        <v>1372516</v>
      </c>
      <c r="AH55" s="23"/>
      <c r="AI55" s="17">
        <v>8942938</v>
      </c>
      <c r="AJ55" s="23"/>
      <c r="AK55" s="23">
        <f>+AI55-AG55</f>
        <v>7570422</v>
      </c>
    </row>
    <row r="56" spans="1:37" s="4" customFormat="1" ht="12">
      <c r="A56" s="15" t="s">
        <v>372</v>
      </c>
      <c r="C56" s="15" t="s">
        <v>54</v>
      </c>
      <c r="E56" s="15">
        <v>1105085</v>
      </c>
      <c r="G56" s="15">
        <v>36518</v>
      </c>
      <c r="I56" s="15">
        <v>0</v>
      </c>
      <c r="K56" s="15">
        <v>0</v>
      </c>
      <c r="M56" s="23">
        <f>+E56-G56-I56-K56</f>
        <v>1068567</v>
      </c>
      <c r="O56" s="15">
        <v>0</v>
      </c>
      <c r="Q56" s="4">
        <v>840956</v>
      </c>
      <c r="S56" s="15">
        <v>0</v>
      </c>
      <c r="U56" s="15">
        <v>84546</v>
      </c>
      <c r="W56" s="15">
        <v>1113</v>
      </c>
      <c r="Y56" s="15">
        <v>0</v>
      </c>
      <c r="AA56" s="15">
        <v>0</v>
      </c>
      <c r="AC56" s="15">
        <v>0</v>
      </c>
      <c r="AE56" s="23">
        <f>SUM(O56:AC56)</f>
        <v>926615</v>
      </c>
      <c r="AG56" s="23">
        <f>+M56-AE56</f>
        <v>141952</v>
      </c>
      <c r="AI56" s="15">
        <v>2045006</v>
      </c>
      <c r="AK56" s="23">
        <f>+AI56-AG56</f>
        <v>1903054</v>
      </c>
    </row>
    <row r="57" spans="1:37" s="4" customFormat="1" ht="12">
      <c r="A57" s="4" t="s">
        <v>516</v>
      </c>
      <c r="C57" s="4" t="s">
        <v>51</v>
      </c>
      <c r="E57" s="4">
        <v>1452147</v>
      </c>
      <c r="G57" s="4">
        <v>5793</v>
      </c>
      <c r="I57" s="4">
        <v>0</v>
      </c>
      <c r="K57" s="4">
        <v>0</v>
      </c>
      <c r="M57" s="23">
        <f>+E57-G57-I57-K57</f>
        <v>1446354</v>
      </c>
      <c r="O57" s="4">
        <v>0</v>
      </c>
      <c r="Q57" s="4">
        <v>324498</v>
      </c>
      <c r="S57" s="4">
        <v>0</v>
      </c>
      <c r="U57" s="4">
        <v>72400</v>
      </c>
      <c r="W57" s="4">
        <v>805893</v>
      </c>
      <c r="Y57" s="4">
        <v>0</v>
      </c>
      <c r="AA57" s="4">
        <v>0</v>
      </c>
      <c r="AC57" s="4">
        <v>0</v>
      </c>
      <c r="AE57" s="23">
        <f>SUM(O57:AC57)</f>
        <v>1202791</v>
      </c>
      <c r="AG57" s="23">
        <f>+M57-AE57</f>
        <v>243563</v>
      </c>
      <c r="AI57" s="4">
        <v>2159447</v>
      </c>
      <c r="AK57" s="23">
        <f>+AI57-AG57</f>
        <v>1915884</v>
      </c>
    </row>
    <row r="58" spans="1:37" s="4" customFormat="1" ht="12">
      <c r="A58" s="12" t="s">
        <v>11</v>
      </c>
      <c r="B58" s="12"/>
      <c r="C58" s="12" t="s">
        <v>12</v>
      </c>
      <c r="D58" s="15"/>
      <c r="E58" s="23">
        <v>1116273</v>
      </c>
      <c r="F58" s="23"/>
      <c r="G58" s="23">
        <v>23687</v>
      </c>
      <c r="H58" s="23"/>
      <c r="I58" s="4">
        <v>0</v>
      </c>
      <c r="J58" s="23"/>
      <c r="K58" s="23">
        <v>0</v>
      </c>
      <c r="L58" s="23"/>
      <c r="M58" s="23">
        <f>+E58-G58-I58-K58</f>
        <v>1092586</v>
      </c>
      <c r="N58" s="23"/>
      <c r="O58" s="23">
        <v>373462</v>
      </c>
      <c r="P58" s="23"/>
      <c r="Q58" s="23">
        <v>598482</v>
      </c>
      <c r="R58" s="23"/>
      <c r="S58" s="23">
        <v>5215</v>
      </c>
      <c r="T58" s="23"/>
      <c r="U58" s="23">
        <v>33922</v>
      </c>
      <c r="V58" s="23"/>
      <c r="W58" s="23">
        <v>979</v>
      </c>
      <c r="X58" s="23"/>
      <c r="Y58" s="23">
        <v>0</v>
      </c>
      <c r="Z58" s="23"/>
      <c r="AA58" s="23">
        <v>0</v>
      </c>
      <c r="AB58" s="23"/>
      <c r="AC58" s="23">
        <v>0</v>
      </c>
      <c r="AD58" s="23"/>
      <c r="AE58" s="23">
        <f>SUM(O58:AC58)</f>
        <v>1012060</v>
      </c>
      <c r="AF58" s="23"/>
      <c r="AG58" s="23">
        <f>+M58-AE58</f>
        <v>80526</v>
      </c>
      <c r="AH58" s="23"/>
      <c r="AI58" s="23">
        <v>1152549</v>
      </c>
      <c r="AJ58" s="23"/>
      <c r="AK58" s="23">
        <f>+AI58-AG58</f>
        <v>1072023</v>
      </c>
    </row>
    <row r="59" spans="1:37" ht="12" customHeight="1">
      <c r="A59" s="15" t="s">
        <v>182</v>
      </c>
      <c r="B59" s="15"/>
      <c r="C59" s="15" t="s">
        <v>57</v>
      </c>
      <c r="D59" s="15"/>
      <c r="E59" s="23">
        <v>12518817</v>
      </c>
      <c r="F59" s="23"/>
      <c r="G59" s="23">
        <v>2555</v>
      </c>
      <c r="H59" s="23"/>
      <c r="I59" s="23">
        <v>73025</v>
      </c>
      <c r="J59" s="23"/>
      <c r="K59" s="23">
        <v>0</v>
      </c>
      <c r="L59" s="23"/>
      <c r="M59" s="23">
        <f>+E59-G59-I59-K59</f>
        <v>12443237</v>
      </c>
      <c r="N59" s="23"/>
      <c r="O59" s="23">
        <v>4129521</v>
      </c>
      <c r="P59" s="23"/>
      <c r="Q59" s="23">
        <f>5426400+120380</f>
        <v>5546780</v>
      </c>
      <c r="R59" s="23"/>
      <c r="S59" s="23">
        <f>79724+762</f>
        <v>80486</v>
      </c>
      <c r="T59" s="23"/>
      <c r="U59" s="23">
        <v>290584</v>
      </c>
      <c r="V59" s="23"/>
      <c r="W59" s="23">
        <f>30545+720</f>
        <v>31265</v>
      </c>
      <c r="X59" s="23"/>
      <c r="Y59" s="23">
        <v>0</v>
      </c>
      <c r="Z59" s="23"/>
      <c r="AA59" s="23">
        <v>-2345896</v>
      </c>
      <c r="AB59" s="23"/>
      <c r="AC59" s="23">
        <v>0</v>
      </c>
      <c r="AD59" s="23"/>
      <c r="AE59" s="23">
        <f>SUM(O59:AC59)</f>
        <v>7732740</v>
      </c>
      <c r="AF59" s="23"/>
      <c r="AG59" s="23">
        <f>+M59-AE59</f>
        <v>4710497</v>
      </c>
      <c r="AH59" s="23"/>
      <c r="AI59" s="23">
        <v>9428248</v>
      </c>
      <c r="AJ59" s="23"/>
      <c r="AK59" s="23">
        <f>+AI59-AG59</f>
        <v>4717751</v>
      </c>
    </row>
    <row r="60" spans="1:37" ht="12" customHeight="1">
      <c r="A60" s="4" t="s">
        <v>520</v>
      </c>
      <c r="B60" s="4"/>
      <c r="C60" s="4" t="s">
        <v>25</v>
      </c>
      <c r="D60" s="4"/>
      <c r="E60" s="4">
        <v>722346</v>
      </c>
      <c r="F60" s="4"/>
      <c r="G60" s="4">
        <v>36045</v>
      </c>
      <c r="H60" s="4"/>
      <c r="I60" s="4">
        <v>0</v>
      </c>
      <c r="J60" s="4"/>
      <c r="K60" s="4">
        <v>0</v>
      </c>
      <c r="L60" s="4"/>
      <c r="M60" s="23">
        <f>+E60-G60-I60-K60</f>
        <v>686301</v>
      </c>
      <c r="N60" s="4"/>
      <c r="O60" s="4">
        <v>670396</v>
      </c>
      <c r="P60" s="4"/>
      <c r="Q60" s="4">
        <v>7700</v>
      </c>
      <c r="R60" s="4"/>
      <c r="S60" s="4">
        <v>0</v>
      </c>
      <c r="T60" s="4"/>
      <c r="U60" s="4">
        <v>16349</v>
      </c>
      <c r="V60" s="4"/>
      <c r="W60" s="4">
        <v>1421</v>
      </c>
      <c r="X60" s="4"/>
      <c r="Y60" s="4">
        <v>0</v>
      </c>
      <c r="Z60" s="4"/>
      <c r="AA60" s="4">
        <v>0</v>
      </c>
      <c r="AB60" s="4"/>
      <c r="AC60" s="4">
        <v>0</v>
      </c>
      <c r="AD60" s="4"/>
      <c r="AE60" s="23">
        <f>SUM(O60:AC60)</f>
        <v>695866</v>
      </c>
      <c r="AF60" s="4"/>
      <c r="AG60" s="23">
        <f>+M60-AE60</f>
        <v>-9565</v>
      </c>
      <c r="AH60" s="4"/>
      <c r="AI60" s="4">
        <v>616564</v>
      </c>
      <c r="AJ60" s="4"/>
      <c r="AK60" s="23">
        <f>+AI60-AG60</f>
        <v>626129</v>
      </c>
    </row>
    <row r="61" spans="1:37" ht="12" customHeight="1">
      <c r="A61" s="4" t="s">
        <v>439</v>
      </c>
      <c r="B61" s="4"/>
      <c r="C61" s="4" t="s">
        <v>13</v>
      </c>
      <c r="D61" s="4"/>
      <c r="E61" s="4">
        <v>1266194</v>
      </c>
      <c r="F61" s="4"/>
      <c r="G61" s="4">
        <v>43854</v>
      </c>
      <c r="H61" s="4"/>
      <c r="I61" s="4">
        <v>0</v>
      </c>
      <c r="J61" s="4"/>
      <c r="K61" s="4">
        <v>0</v>
      </c>
      <c r="L61" s="4"/>
      <c r="M61" s="23">
        <f>+E61-G61-I61-K61</f>
        <v>1222340</v>
      </c>
      <c r="N61" s="4"/>
      <c r="O61" s="4">
        <v>0</v>
      </c>
      <c r="P61" s="4"/>
      <c r="Q61" s="4">
        <v>1145861</v>
      </c>
      <c r="R61" s="4"/>
      <c r="S61" s="4">
        <v>0</v>
      </c>
      <c r="T61" s="4"/>
      <c r="U61" s="4">
        <v>29455</v>
      </c>
      <c r="V61" s="4"/>
      <c r="W61" s="4">
        <v>10428</v>
      </c>
      <c r="X61" s="4"/>
      <c r="Y61" s="4">
        <v>0</v>
      </c>
      <c r="Z61" s="4"/>
      <c r="AA61" s="4">
        <v>0</v>
      </c>
      <c r="AB61" s="4"/>
      <c r="AC61" s="4">
        <v>0</v>
      </c>
      <c r="AD61" s="4"/>
      <c r="AE61" s="23">
        <f>SUM(O61:AC61)</f>
        <v>1185744</v>
      </c>
      <c r="AF61" s="4"/>
      <c r="AG61" s="23">
        <f>+M61-AE61</f>
        <v>36596</v>
      </c>
      <c r="AH61" s="4"/>
      <c r="AI61" s="4">
        <v>654015</v>
      </c>
      <c r="AJ61" s="4"/>
      <c r="AK61" s="23">
        <f>+AI61-AG61</f>
        <v>617419</v>
      </c>
    </row>
    <row r="62" spans="1:37" ht="12" customHeight="1">
      <c r="A62" s="15" t="s">
        <v>386</v>
      </c>
      <c r="B62" s="15"/>
      <c r="C62" s="15" t="s">
        <v>185</v>
      </c>
      <c r="D62" s="15"/>
      <c r="E62" s="23">
        <v>627823</v>
      </c>
      <c r="F62" s="23"/>
      <c r="G62" s="23">
        <v>22892</v>
      </c>
      <c r="H62" s="23"/>
      <c r="I62" s="23">
        <v>2715</v>
      </c>
      <c r="J62" s="23"/>
      <c r="K62" s="23">
        <v>0</v>
      </c>
      <c r="L62" s="23"/>
      <c r="M62" s="23">
        <f>+E62-G62-I62-K62</f>
        <v>602216</v>
      </c>
      <c r="N62" s="23"/>
      <c r="O62" s="23">
        <v>0</v>
      </c>
      <c r="P62" s="23"/>
      <c r="Q62" s="23">
        <v>535886</v>
      </c>
      <c r="R62" s="23"/>
      <c r="S62" s="23">
        <v>0</v>
      </c>
      <c r="T62" s="23"/>
      <c r="U62" s="23">
        <v>65137</v>
      </c>
      <c r="V62" s="23"/>
      <c r="W62" s="23">
        <v>15749</v>
      </c>
      <c r="X62" s="23"/>
      <c r="Y62" s="23">
        <v>0</v>
      </c>
      <c r="Z62" s="23"/>
      <c r="AA62" s="23">
        <v>0</v>
      </c>
      <c r="AB62" s="23"/>
      <c r="AC62" s="23">
        <v>0</v>
      </c>
      <c r="AD62" s="23"/>
      <c r="AE62" s="23">
        <f>SUM(O62:AC62)</f>
        <v>616772</v>
      </c>
      <c r="AF62" s="23"/>
      <c r="AG62" s="23">
        <f>+M62-AE62</f>
        <v>-14556</v>
      </c>
      <c r="AH62" s="23"/>
      <c r="AI62" s="23">
        <v>1628055</v>
      </c>
      <c r="AJ62" s="23"/>
      <c r="AK62" s="23">
        <f>+AI62-AG62</f>
        <v>1642611</v>
      </c>
    </row>
    <row r="63" spans="1:37" ht="12" customHeight="1">
      <c r="A63" s="4" t="s">
        <v>376</v>
      </c>
      <c r="B63" s="4"/>
      <c r="C63" s="4" t="s">
        <v>54</v>
      </c>
      <c r="D63" s="4"/>
      <c r="E63" s="4">
        <v>807119</v>
      </c>
      <c r="F63" s="4"/>
      <c r="G63" s="4">
        <v>18801</v>
      </c>
      <c r="H63" s="4"/>
      <c r="I63" s="4">
        <v>0</v>
      </c>
      <c r="J63" s="4"/>
      <c r="K63" s="4">
        <v>0</v>
      </c>
      <c r="L63" s="4"/>
      <c r="M63" s="23">
        <f>+E63-G63-I63-K63</f>
        <v>788318</v>
      </c>
      <c r="N63" s="4"/>
      <c r="O63" s="4">
        <v>0</v>
      </c>
      <c r="P63" s="4"/>
      <c r="Q63" s="4">
        <v>692928</v>
      </c>
      <c r="R63" s="4"/>
      <c r="S63" s="4">
        <v>0</v>
      </c>
      <c r="T63" s="4"/>
      <c r="U63" s="4">
        <v>21449</v>
      </c>
      <c r="V63" s="4"/>
      <c r="W63" s="4">
        <v>309</v>
      </c>
      <c r="X63" s="4"/>
      <c r="Y63" s="4">
        <v>0</v>
      </c>
      <c r="Z63" s="4"/>
      <c r="AA63" s="4">
        <v>0</v>
      </c>
      <c r="AB63" s="4"/>
      <c r="AC63" s="4">
        <v>1200</v>
      </c>
      <c r="AD63" s="4"/>
      <c r="AE63" s="23">
        <f>SUM(O63:AC63)</f>
        <v>715886</v>
      </c>
      <c r="AF63" s="4"/>
      <c r="AG63" s="23">
        <f>+M63-AE63</f>
        <v>72432</v>
      </c>
      <c r="AH63" s="4"/>
      <c r="AI63" s="4">
        <v>648713</v>
      </c>
      <c r="AJ63" s="4"/>
      <c r="AK63" s="23">
        <f>+AI63-AG63</f>
        <v>576281</v>
      </c>
    </row>
    <row r="64" spans="1:37" ht="12" customHeight="1">
      <c r="A64" s="4" t="s">
        <v>378</v>
      </c>
      <c r="B64" s="4"/>
      <c r="C64" s="4" t="s">
        <v>54</v>
      </c>
      <c r="D64" s="4"/>
      <c r="E64" s="4">
        <v>1489832</v>
      </c>
      <c r="F64" s="4"/>
      <c r="G64" s="4">
        <v>48442</v>
      </c>
      <c r="H64" s="4"/>
      <c r="I64" s="4">
        <v>0</v>
      </c>
      <c r="J64" s="4"/>
      <c r="K64" s="4">
        <v>0</v>
      </c>
      <c r="L64" s="4"/>
      <c r="M64" s="23">
        <f>+E64-G64-I64-K64</f>
        <v>1441390</v>
      </c>
      <c r="N64" s="4"/>
      <c r="O64" s="4">
        <v>0</v>
      </c>
      <c r="P64" s="4"/>
      <c r="Q64" s="4">
        <v>1236791</v>
      </c>
      <c r="R64" s="4"/>
      <c r="S64" s="4">
        <v>0</v>
      </c>
      <c r="T64" s="4"/>
      <c r="U64" s="4">
        <v>60995</v>
      </c>
      <c r="V64" s="4"/>
      <c r="W64" s="4">
        <v>14355</v>
      </c>
      <c r="X64" s="4"/>
      <c r="Y64" s="4">
        <v>0</v>
      </c>
      <c r="Z64" s="4"/>
      <c r="AA64" s="4">
        <v>0</v>
      </c>
      <c r="AB64" s="4"/>
      <c r="AC64" s="4">
        <v>0</v>
      </c>
      <c r="AD64" s="4"/>
      <c r="AE64" s="23">
        <f>SUM(O64:AC64)</f>
        <v>1312141</v>
      </c>
      <c r="AF64" s="4"/>
      <c r="AG64" s="23">
        <f>+M64-AE64</f>
        <v>129249</v>
      </c>
      <c r="AH64" s="4"/>
      <c r="AI64" s="4">
        <v>1885955</v>
      </c>
      <c r="AJ64" s="4"/>
      <c r="AK64" s="23">
        <f>+AI64-AG64</f>
        <v>1756706</v>
      </c>
    </row>
    <row r="65" spans="1:37" ht="12" customHeight="1">
      <c r="A65" s="4" t="s">
        <v>195</v>
      </c>
      <c r="B65" s="4"/>
      <c r="C65" s="4" t="s">
        <v>25</v>
      </c>
      <c r="D65" s="4"/>
      <c r="E65" s="4">
        <v>2755137</v>
      </c>
      <c r="F65" s="4"/>
      <c r="G65" s="4">
        <v>46417</v>
      </c>
      <c r="H65" s="4"/>
      <c r="I65" s="4">
        <v>39123</v>
      </c>
      <c r="J65" s="4"/>
      <c r="K65" s="4">
        <v>0</v>
      </c>
      <c r="L65" s="4"/>
      <c r="M65" s="23">
        <f>+E65-G65-I65-K65</f>
        <v>2669597</v>
      </c>
      <c r="N65" s="4"/>
      <c r="O65" s="4">
        <v>871574</v>
      </c>
      <c r="P65" s="4"/>
      <c r="Q65" s="4">
        <v>1573435</v>
      </c>
      <c r="R65" s="4"/>
      <c r="S65" s="4">
        <v>0</v>
      </c>
      <c r="T65" s="4"/>
      <c r="U65" s="4">
        <v>24769</v>
      </c>
      <c r="V65" s="4"/>
      <c r="W65" s="4">
        <v>31292</v>
      </c>
      <c r="X65" s="4"/>
      <c r="Y65" s="4">
        <v>0</v>
      </c>
      <c r="Z65" s="4"/>
      <c r="AA65" s="4">
        <v>0</v>
      </c>
      <c r="AB65" s="4"/>
      <c r="AC65" s="4">
        <v>0</v>
      </c>
      <c r="AD65" s="4"/>
      <c r="AE65" s="23">
        <f>SUM(O65:AC65)</f>
        <v>2501070</v>
      </c>
      <c r="AF65" s="4"/>
      <c r="AG65" s="23">
        <f>+M65-AE65</f>
        <v>168527</v>
      </c>
      <c r="AH65" s="4"/>
      <c r="AI65" s="4">
        <v>1256979</v>
      </c>
      <c r="AJ65" s="4"/>
      <c r="AK65" s="23">
        <f>+AI65-AG65</f>
        <v>1088452</v>
      </c>
    </row>
    <row r="66" spans="1:37" ht="12" customHeight="1">
      <c r="A66" s="12" t="s">
        <v>14</v>
      </c>
      <c r="B66" s="12"/>
      <c r="C66" s="12" t="s">
        <v>15</v>
      </c>
      <c r="D66" s="15"/>
      <c r="E66" s="23">
        <v>3288135</v>
      </c>
      <c r="F66" s="23"/>
      <c r="G66" s="23">
        <v>82768</v>
      </c>
      <c r="H66" s="23"/>
      <c r="I66" s="23">
        <v>0</v>
      </c>
      <c r="J66" s="23"/>
      <c r="K66" s="23">
        <v>0</v>
      </c>
      <c r="L66" s="23"/>
      <c r="M66" s="23">
        <f>+E66-G66-I66-K66</f>
        <v>3205367</v>
      </c>
      <c r="N66" s="23"/>
      <c r="O66" s="23">
        <v>1137567</v>
      </c>
      <c r="P66" s="23"/>
      <c r="Q66" s="23">
        <v>1765942</v>
      </c>
      <c r="R66" s="23"/>
      <c r="S66" s="23">
        <v>14514</v>
      </c>
      <c r="T66" s="23"/>
      <c r="U66" s="23">
        <v>26451</v>
      </c>
      <c r="V66" s="23"/>
      <c r="W66" s="23">
        <v>3330</v>
      </c>
      <c r="X66" s="23"/>
      <c r="Y66" s="23">
        <v>0</v>
      </c>
      <c r="Z66" s="23"/>
      <c r="AA66" s="23">
        <v>0</v>
      </c>
      <c r="AB66" s="23"/>
      <c r="AC66" s="23">
        <v>0</v>
      </c>
      <c r="AD66" s="23"/>
      <c r="AE66" s="23">
        <f>SUM(O66:AC66)</f>
        <v>2947804</v>
      </c>
      <c r="AF66" s="23"/>
      <c r="AG66" s="23">
        <f>+M66-AE66</f>
        <v>257563</v>
      </c>
      <c r="AH66" s="23"/>
      <c r="AI66" s="23">
        <v>1296762</v>
      </c>
      <c r="AJ66" s="23"/>
      <c r="AK66" s="23">
        <f>+AI66-AG66</f>
        <v>1039199</v>
      </c>
    </row>
    <row r="67" spans="1:37" ht="12" customHeight="1">
      <c r="A67" s="12" t="s">
        <v>197</v>
      </c>
      <c r="B67" s="12"/>
      <c r="C67" s="12" t="s">
        <v>10</v>
      </c>
      <c r="D67" s="15"/>
      <c r="E67" s="23">
        <v>5946260</v>
      </c>
      <c r="F67" s="23"/>
      <c r="G67" s="23">
        <v>264369</v>
      </c>
      <c r="H67" s="23"/>
      <c r="I67" s="23">
        <v>0</v>
      </c>
      <c r="J67" s="23"/>
      <c r="K67" s="23">
        <v>0</v>
      </c>
      <c r="L67" s="23"/>
      <c r="M67" s="23">
        <f>+E67-G67-I67-K67</f>
        <v>5681891</v>
      </c>
      <c r="N67" s="23"/>
      <c r="O67" s="23">
        <v>5472365</v>
      </c>
      <c r="P67" s="23"/>
      <c r="Q67" s="23">
        <v>0</v>
      </c>
      <c r="R67" s="23"/>
      <c r="S67" s="23">
        <v>30445</v>
      </c>
      <c r="T67" s="23"/>
      <c r="U67" s="23">
        <v>188910</v>
      </c>
      <c r="V67" s="23"/>
      <c r="W67" s="23">
        <v>37526</v>
      </c>
      <c r="X67" s="23"/>
      <c r="Y67" s="23">
        <v>0</v>
      </c>
      <c r="Z67" s="23"/>
      <c r="AA67" s="23">
        <v>0</v>
      </c>
      <c r="AB67" s="23"/>
      <c r="AC67" s="23">
        <v>0</v>
      </c>
      <c r="AD67" s="23"/>
      <c r="AE67" s="23">
        <f>SUM(O67:AC67)</f>
        <v>5729246</v>
      </c>
      <c r="AF67" s="23"/>
      <c r="AG67" s="23">
        <f>+M67-AE67</f>
        <v>-47355</v>
      </c>
      <c r="AH67" s="23"/>
      <c r="AI67" s="23">
        <v>5820179</v>
      </c>
      <c r="AJ67" s="23"/>
      <c r="AK67" s="23">
        <f>+AI67-AG67</f>
        <v>5867534</v>
      </c>
    </row>
    <row r="68" spans="1:37" ht="12" customHeight="1">
      <c r="A68" s="4" t="s">
        <v>380</v>
      </c>
      <c r="B68" s="4"/>
      <c r="C68" s="4" t="s">
        <v>25</v>
      </c>
      <c r="D68" s="4"/>
      <c r="E68" s="4">
        <v>851189</v>
      </c>
      <c r="F68" s="4"/>
      <c r="G68" s="4">
        <v>24080</v>
      </c>
      <c r="H68" s="4"/>
      <c r="I68" s="4">
        <v>1626</v>
      </c>
      <c r="J68" s="4"/>
      <c r="K68" s="4">
        <v>0</v>
      </c>
      <c r="L68" s="4"/>
      <c r="M68" s="23">
        <f>+E68-G68-I68-K68</f>
        <v>825483</v>
      </c>
      <c r="N68" s="4"/>
      <c r="O68" s="4">
        <v>0</v>
      </c>
      <c r="P68" s="4"/>
      <c r="Q68" s="4">
        <v>837644</v>
      </c>
      <c r="R68" s="4"/>
      <c r="S68" s="4">
        <v>0</v>
      </c>
      <c r="T68" s="4"/>
      <c r="U68" s="4">
        <v>4449</v>
      </c>
      <c r="V68" s="4"/>
      <c r="W68" s="4">
        <v>1776</v>
      </c>
      <c r="X68" s="4"/>
      <c r="Y68" s="4">
        <v>0</v>
      </c>
      <c r="Z68" s="4"/>
      <c r="AA68" s="4">
        <v>0</v>
      </c>
      <c r="AB68" s="4"/>
      <c r="AC68" s="4">
        <v>0</v>
      </c>
      <c r="AD68" s="4"/>
      <c r="AE68" s="23">
        <f>SUM(O68:AC68)</f>
        <v>843869</v>
      </c>
      <c r="AF68" s="4"/>
      <c r="AG68" s="23">
        <f>+M68-AE68</f>
        <v>-18386</v>
      </c>
      <c r="AH68" s="4"/>
      <c r="AI68" s="4">
        <v>197873</v>
      </c>
      <c r="AJ68" s="4"/>
      <c r="AK68" s="23">
        <f>+AI68-AG68</f>
        <v>216259</v>
      </c>
    </row>
    <row r="69" spans="1:37" ht="12" customHeight="1">
      <c r="A69" s="4" t="s">
        <v>518</v>
      </c>
      <c r="B69" s="4"/>
      <c r="C69" s="4" t="s">
        <v>64</v>
      </c>
      <c r="D69" s="4"/>
      <c r="E69" s="4">
        <v>608109</v>
      </c>
      <c r="F69" s="4"/>
      <c r="G69" s="4">
        <v>17278</v>
      </c>
      <c r="H69" s="4"/>
      <c r="I69" s="4">
        <v>0</v>
      </c>
      <c r="J69" s="4"/>
      <c r="K69" s="4">
        <v>0</v>
      </c>
      <c r="L69" s="4"/>
      <c r="M69" s="23">
        <f>+E69-G69-I69-K69</f>
        <v>590831</v>
      </c>
      <c r="N69" s="4"/>
      <c r="O69" s="4">
        <v>0</v>
      </c>
      <c r="P69" s="4"/>
      <c r="Q69" s="4">
        <v>559112</v>
      </c>
      <c r="R69" s="4"/>
      <c r="S69" s="4">
        <v>0</v>
      </c>
      <c r="T69" s="4"/>
      <c r="U69" s="4">
        <v>685</v>
      </c>
      <c r="V69" s="4"/>
      <c r="W69" s="4">
        <v>1440</v>
      </c>
      <c r="X69" s="4"/>
      <c r="Y69" s="4">
        <v>0</v>
      </c>
      <c r="Z69" s="4"/>
      <c r="AA69" s="4">
        <v>0</v>
      </c>
      <c r="AB69" s="4"/>
      <c r="AC69" s="4">
        <v>0</v>
      </c>
      <c r="AD69" s="4"/>
      <c r="AE69" s="23">
        <f>SUM(O69:AC69)</f>
        <v>561237</v>
      </c>
      <c r="AF69" s="4"/>
      <c r="AG69" s="23">
        <f>+M69-AE69</f>
        <v>29594</v>
      </c>
      <c r="AH69" s="4"/>
      <c r="AI69" s="4">
        <v>132996</v>
      </c>
      <c r="AJ69" s="4"/>
      <c r="AK69" s="23">
        <f>+AI69-AG69</f>
        <v>103402</v>
      </c>
    </row>
    <row r="70" spans="1:37" ht="12" customHeight="1">
      <c r="A70" s="12" t="s">
        <v>431</v>
      </c>
      <c r="B70" s="12"/>
      <c r="C70" s="12" t="s">
        <v>16</v>
      </c>
      <c r="D70" s="15"/>
      <c r="E70" s="23">
        <v>2215318</v>
      </c>
      <c r="F70" s="23"/>
      <c r="G70" s="23">
        <v>0</v>
      </c>
      <c r="H70" s="23"/>
      <c r="I70" s="23">
        <v>0</v>
      </c>
      <c r="J70" s="23"/>
      <c r="K70" s="23">
        <v>0</v>
      </c>
      <c r="L70" s="23"/>
      <c r="M70" s="23">
        <f>+E70-G70-I70-K70</f>
        <v>2215318</v>
      </c>
      <c r="N70" s="23"/>
      <c r="O70" s="23">
        <v>254482</v>
      </c>
      <c r="P70" s="23"/>
      <c r="Q70" s="23">
        <v>1640112</v>
      </c>
      <c r="R70" s="23"/>
      <c r="S70" s="23">
        <v>17439</v>
      </c>
      <c r="T70" s="23"/>
      <c r="U70" s="23">
        <v>21209</v>
      </c>
      <c r="V70" s="23"/>
      <c r="W70" s="23">
        <f>40408+10269</f>
        <v>50677</v>
      </c>
      <c r="X70" s="23"/>
      <c r="Y70" s="23">
        <v>0</v>
      </c>
      <c r="Z70" s="23"/>
      <c r="AA70" s="23">
        <v>0</v>
      </c>
      <c r="AB70" s="23"/>
      <c r="AC70" s="23">
        <v>0</v>
      </c>
      <c r="AD70" s="23"/>
      <c r="AE70" s="23">
        <f>SUM(O70:AC70)</f>
        <v>1983919</v>
      </c>
      <c r="AF70" s="23"/>
      <c r="AG70" s="23">
        <f>+M70-AE70</f>
        <v>231399</v>
      </c>
      <c r="AH70" s="23"/>
      <c r="AI70" s="23">
        <v>992711</v>
      </c>
      <c r="AJ70" s="23"/>
      <c r="AK70" s="23">
        <f>+AI70-AG70</f>
        <v>761312</v>
      </c>
    </row>
    <row r="71" spans="1:37" ht="12" customHeight="1">
      <c r="A71" s="15" t="s">
        <v>208</v>
      </c>
      <c r="B71" s="15"/>
      <c r="C71" s="15" t="s">
        <v>209</v>
      </c>
      <c r="D71" s="15"/>
      <c r="E71" s="23">
        <v>3929895</v>
      </c>
      <c r="F71" s="23"/>
      <c r="G71" s="23">
        <v>110491</v>
      </c>
      <c r="H71" s="23"/>
      <c r="I71" s="23">
        <v>20267</v>
      </c>
      <c r="J71" s="23"/>
      <c r="K71" s="23">
        <v>16275</v>
      </c>
      <c r="L71" s="23"/>
      <c r="M71" s="23">
        <f>+E71-G71-I71-K71</f>
        <v>3782862</v>
      </c>
      <c r="N71" s="23"/>
      <c r="O71" s="23">
        <v>0</v>
      </c>
      <c r="P71" s="23"/>
      <c r="Q71" s="23">
        <v>3097181</v>
      </c>
      <c r="R71" s="23"/>
      <c r="S71" s="23">
        <v>0</v>
      </c>
      <c r="T71" s="23"/>
      <c r="U71" s="23">
        <v>159907</v>
      </c>
      <c r="V71" s="23"/>
      <c r="W71" s="23">
        <f>8357+43440</f>
        <v>51797</v>
      </c>
      <c r="X71" s="23"/>
      <c r="Y71" s="23">
        <v>0</v>
      </c>
      <c r="Z71" s="23"/>
      <c r="AA71" s="23">
        <v>0</v>
      </c>
      <c r="AB71" s="23"/>
      <c r="AC71" s="23">
        <v>0</v>
      </c>
      <c r="AD71" s="23"/>
      <c r="AE71" s="23">
        <f>SUM(O71:AC71)</f>
        <v>3308885</v>
      </c>
      <c r="AF71" s="23"/>
      <c r="AG71" s="23">
        <f>+M71-AE71</f>
        <v>473977</v>
      </c>
      <c r="AH71" s="23"/>
      <c r="AI71" s="23">
        <v>4639192</v>
      </c>
      <c r="AJ71" s="23"/>
      <c r="AK71" s="23">
        <f>+AI71-AG71</f>
        <v>4165215</v>
      </c>
    </row>
    <row r="72" spans="1:37" ht="12" customHeight="1">
      <c r="A72" s="4" t="s">
        <v>382</v>
      </c>
      <c r="B72" s="4"/>
      <c r="C72" s="4" t="s">
        <v>65</v>
      </c>
      <c r="D72" s="4"/>
      <c r="E72" s="4">
        <v>476848</v>
      </c>
      <c r="F72" s="4"/>
      <c r="G72" s="4">
        <v>13023</v>
      </c>
      <c r="H72" s="4"/>
      <c r="I72" s="4">
        <v>0</v>
      </c>
      <c r="J72" s="4"/>
      <c r="K72" s="4">
        <v>0</v>
      </c>
      <c r="L72" s="4"/>
      <c r="M72" s="23">
        <f>+E72-G72-I72-K72</f>
        <v>463825</v>
      </c>
      <c r="N72" s="4"/>
      <c r="O72" s="4">
        <v>0</v>
      </c>
      <c r="P72" s="4"/>
      <c r="Q72" s="4">
        <v>407080</v>
      </c>
      <c r="R72" s="4"/>
      <c r="S72" s="4">
        <v>0</v>
      </c>
      <c r="T72" s="4"/>
      <c r="U72" s="4">
        <v>11837</v>
      </c>
      <c r="V72" s="4"/>
      <c r="W72" s="4">
        <v>1200</v>
      </c>
      <c r="X72" s="4"/>
      <c r="Y72" s="4">
        <v>0</v>
      </c>
      <c r="Z72" s="4"/>
      <c r="AA72" s="4">
        <v>0</v>
      </c>
      <c r="AB72" s="4"/>
      <c r="AC72" s="4">
        <v>0</v>
      </c>
      <c r="AD72" s="4"/>
      <c r="AE72" s="23">
        <f>SUM(O72:AC72)</f>
        <v>420117</v>
      </c>
      <c r="AF72" s="4"/>
      <c r="AG72" s="23">
        <f>+M72-AE72</f>
        <v>43708</v>
      </c>
      <c r="AH72" s="4"/>
      <c r="AI72" s="4">
        <v>309263</v>
      </c>
      <c r="AJ72" s="4"/>
      <c r="AK72" s="23">
        <f>+AI72-AG72</f>
        <v>265555</v>
      </c>
    </row>
    <row r="73" spans="1:37" ht="12" customHeight="1">
      <c r="A73" s="12" t="s">
        <v>218</v>
      </c>
      <c r="B73" s="15"/>
      <c r="C73" s="15" t="s">
        <v>25</v>
      </c>
      <c r="D73" s="15"/>
      <c r="E73" s="23">
        <v>2766422</v>
      </c>
      <c r="F73" s="23"/>
      <c r="G73" s="23">
        <v>81964</v>
      </c>
      <c r="H73" s="23"/>
      <c r="I73" s="23">
        <v>17030</v>
      </c>
      <c r="J73" s="23"/>
      <c r="K73" s="23">
        <v>471911</v>
      </c>
      <c r="L73" s="23"/>
      <c r="M73" s="23">
        <f>+E73-G73-I73-K73</f>
        <v>2195517</v>
      </c>
      <c r="N73" s="23"/>
      <c r="O73" s="23">
        <v>169279</v>
      </c>
      <c r="P73" s="23"/>
      <c r="Q73" s="23">
        <v>1579065</v>
      </c>
      <c r="R73" s="23"/>
      <c r="S73" s="23">
        <v>1280</v>
      </c>
      <c r="T73" s="23"/>
      <c r="U73" s="23">
        <v>23754</v>
      </c>
      <c r="V73" s="23"/>
      <c r="W73" s="23">
        <f>3883</f>
        <v>3883</v>
      </c>
      <c r="X73" s="23"/>
      <c r="Y73" s="23">
        <v>0</v>
      </c>
      <c r="Z73" s="23"/>
      <c r="AA73" s="23">
        <v>0</v>
      </c>
      <c r="AB73" s="23"/>
      <c r="AC73" s="23">
        <v>0</v>
      </c>
      <c r="AD73" s="23"/>
      <c r="AE73" s="23">
        <f>SUM(O73:AC73)</f>
        <v>1777261</v>
      </c>
      <c r="AF73" s="23"/>
      <c r="AG73" s="23">
        <f>+M73-AE73</f>
        <v>418256</v>
      </c>
      <c r="AH73" s="23"/>
      <c r="AI73" s="23">
        <v>868867</v>
      </c>
      <c r="AJ73" s="23"/>
      <c r="AK73" s="23">
        <f>+AI73-AG73</f>
        <v>450611</v>
      </c>
    </row>
    <row r="74" spans="1:37" ht="12" customHeight="1">
      <c r="A74" s="12" t="s">
        <v>224</v>
      </c>
      <c r="B74" s="15"/>
      <c r="C74" s="15" t="s">
        <v>225</v>
      </c>
      <c r="D74" s="15"/>
      <c r="E74" s="23">
        <v>1015889</v>
      </c>
      <c r="F74" s="23"/>
      <c r="G74" s="23">
        <f>46360</f>
        <v>46360</v>
      </c>
      <c r="H74" s="23"/>
      <c r="I74" s="23">
        <v>11319</v>
      </c>
      <c r="J74" s="23"/>
      <c r="K74" s="23">
        <v>0</v>
      </c>
      <c r="L74" s="23"/>
      <c r="M74" s="23">
        <f>+E74-G74-I74-K74</f>
        <v>958210</v>
      </c>
      <c r="N74" s="23"/>
      <c r="O74" s="23">
        <v>139056</v>
      </c>
      <c r="P74" s="23"/>
      <c r="Q74" s="23">
        <f>662620+21941-11319-1</f>
        <v>673241</v>
      </c>
      <c r="R74" s="23"/>
      <c r="S74" s="23">
        <f>15132+7125</f>
        <v>22257</v>
      </c>
      <c r="T74" s="23"/>
      <c r="U74" s="23">
        <f>30289+18319+96</f>
        <v>48704</v>
      </c>
      <c r="V74" s="23"/>
      <c r="W74" s="23">
        <f>2257</f>
        <v>2257</v>
      </c>
      <c r="X74" s="23"/>
      <c r="Y74" s="23">
        <v>0</v>
      </c>
      <c r="Z74" s="23"/>
      <c r="AA74" s="23">
        <v>0</v>
      </c>
      <c r="AB74" s="23"/>
      <c r="AC74" s="23">
        <v>0</v>
      </c>
      <c r="AD74" s="23"/>
      <c r="AE74" s="23">
        <f>SUM(O74:AC74)</f>
        <v>885515</v>
      </c>
      <c r="AF74" s="23"/>
      <c r="AG74" s="23">
        <f>+M74-AE74</f>
        <v>72695</v>
      </c>
      <c r="AH74" s="23"/>
      <c r="AI74" s="23">
        <v>890588</v>
      </c>
      <c r="AJ74" s="23"/>
      <c r="AK74" s="23">
        <f>+AI74-AG74</f>
        <v>817893</v>
      </c>
    </row>
    <row r="75" spans="1:37" ht="12" customHeight="1">
      <c r="A75" s="12" t="s">
        <v>383</v>
      </c>
      <c r="B75" s="15"/>
      <c r="C75" s="15" t="s">
        <v>22</v>
      </c>
      <c r="D75" s="15"/>
      <c r="E75" s="23">
        <v>503368</v>
      </c>
      <c r="F75" s="23"/>
      <c r="G75" s="23">
        <v>5720</v>
      </c>
      <c r="H75" s="23"/>
      <c r="I75" s="23">
        <v>0</v>
      </c>
      <c r="J75" s="23"/>
      <c r="K75" s="23">
        <v>0</v>
      </c>
      <c r="L75" s="23"/>
      <c r="M75" s="23">
        <f>+E75-G75-I75-K75</f>
        <v>497648</v>
      </c>
      <c r="N75" s="23"/>
      <c r="O75" s="23">
        <v>123179</v>
      </c>
      <c r="P75" s="23"/>
      <c r="Q75" s="23">
        <v>383184</v>
      </c>
      <c r="R75" s="23"/>
      <c r="S75" s="23">
        <v>0</v>
      </c>
      <c r="T75" s="23"/>
      <c r="U75" s="23">
        <v>984</v>
      </c>
      <c r="V75" s="23"/>
      <c r="W75" s="23">
        <v>0</v>
      </c>
      <c r="X75" s="23"/>
      <c r="Y75" s="23">
        <v>0</v>
      </c>
      <c r="Z75" s="23"/>
      <c r="AA75" s="23">
        <v>0</v>
      </c>
      <c r="AB75" s="23"/>
      <c r="AC75" s="23">
        <v>0</v>
      </c>
      <c r="AD75" s="23"/>
      <c r="AE75" s="23">
        <f>SUM(O75:AC75)</f>
        <v>507347</v>
      </c>
      <c r="AF75" s="23"/>
      <c r="AG75" s="23">
        <f>+M75-AE75</f>
        <v>-9699</v>
      </c>
      <c r="AH75" s="23"/>
      <c r="AI75" s="23">
        <v>213817</v>
      </c>
      <c r="AJ75" s="23"/>
      <c r="AK75" s="23">
        <f>+AI75-AG75</f>
        <v>223516</v>
      </c>
    </row>
    <row r="76" spans="1:37" ht="12" customHeight="1">
      <c r="A76" s="4" t="s">
        <v>566</v>
      </c>
      <c r="B76" s="4"/>
      <c r="C76" s="4" t="s">
        <v>66</v>
      </c>
      <c r="D76" s="4"/>
      <c r="E76" s="4">
        <v>1327084</v>
      </c>
      <c r="F76" s="4"/>
      <c r="G76" s="4">
        <v>40110</v>
      </c>
      <c r="H76" s="4"/>
      <c r="I76" s="4">
        <v>4000</v>
      </c>
      <c r="J76" s="4"/>
      <c r="K76" s="4">
        <v>0</v>
      </c>
      <c r="L76" s="4"/>
      <c r="M76" s="23">
        <f>+E76-G76-I76-K76</f>
        <v>1282974</v>
      </c>
      <c r="N76" s="4"/>
      <c r="O76" s="4">
        <v>112251</v>
      </c>
      <c r="P76" s="4"/>
      <c r="Q76" s="4">
        <v>1082586</v>
      </c>
      <c r="R76" s="4"/>
      <c r="S76" s="4">
        <v>0</v>
      </c>
      <c r="T76" s="4"/>
      <c r="U76" s="4">
        <v>2724</v>
      </c>
      <c r="V76" s="4"/>
      <c r="W76" s="4">
        <v>49388</v>
      </c>
      <c r="X76" s="4"/>
      <c r="Y76" s="4">
        <v>0</v>
      </c>
      <c r="Z76" s="4"/>
      <c r="AA76" s="4">
        <v>0</v>
      </c>
      <c r="AB76" s="4"/>
      <c r="AC76" s="4">
        <v>0</v>
      </c>
      <c r="AD76" s="4"/>
      <c r="AE76" s="23">
        <f>SUM(O76:AC76)</f>
        <v>1246949</v>
      </c>
      <c r="AF76" s="4"/>
      <c r="AG76" s="23">
        <f>+M76-AE76</f>
        <v>36025</v>
      </c>
      <c r="AH76" s="4"/>
      <c r="AI76" s="4">
        <v>180905</v>
      </c>
      <c r="AJ76" s="4"/>
      <c r="AK76" s="23">
        <f>+AI76-AG76</f>
        <v>144880</v>
      </c>
    </row>
    <row r="77" spans="1:37" ht="12" customHeight="1">
      <c r="A77" s="12" t="s">
        <v>444</v>
      </c>
      <c r="B77" s="15"/>
      <c r="C77" s="15" t="s">
        <v>236</v>
      </c>
      <c r="D77" s="15"/>
      <c r="E77" s="23">
        <v>2158749</v>
      </c>
      <c r="F77" s="23"/>
      <c r="G77" s="23">
        <v>62225</v>
      </c>
      <c r="H77" s="23"/>
      <c r="I77" s="23">
        <v>4325</v>
      </c>
      <c r="J77" s="23"/>
      <c r="K77" s="23">
        <v>305000</v>
      </c>
      <c r="L77" s="23"/>
      <c r="M77" s="23">
        <f>+E77-G77-I77-K77</f>
        <v>1787199</v>
      </c>
      <c r="N77" s="23"/>
      <c r="O77" s="23">
        <v>0</v>
      </c>
      <c r="P77" s="23"/>
      <c r="Q77" s="23">
        <v>0</v>
      </c>
      <c r="R77" s="23"/>
      <c r="S77" s="23">
        <v>2193</v>
      </c>
      <c r="T77" s="23"/>
      <c r="U77" s="23">
        <v>449062</v>
      </c>
      <c r="V77" s="23"/>
      <c r="W77" s="23">
        <f>1824729+10304</f>
        <v>1835033</v>
      </c>
      <c r="X77" s="23"/>
      <c r="Y77" s="23">
        <v>0</v>
      </c>
      <c r="Z77" s="23"/>
      <c r="AA77" s="23">
        <v>0</v>
      </c>
      <c r="AB77" s="23"/>
      <c r="AC77" s="23">
        <v>0</v>
      </c>
      <c r="AD77" s="23"/>
      <c r="AE77" s="23">
        <f>SUM(O77:AC77)</f>
        <v>2286288</v>
      </c>
      <c r="AF77" s="23"/>
      <c r="AG77" s="23">
        <f>+M77-AE77</f>
        <v>-499089</v>
      </c>
      <c r="AH77" s="23"/>
      <c r="AI77" s="23">
        <v>15781852</v>
      </c>
      <c r="AJ77" s="23"/>
      <c r="AK77" s="23">
        <f>+AI77-AG77</f>
        <v>16280941</v>
      </c>
    </row>
    <row r="78" spans="1:37" ht="12" customHeight="1">
      <c r="A78" s="4" t="s">
        <v>587</v>
      </c>
      <c r="B78" s="15"/>
      <c r="C78" s="15" t="s">
        <v>53</v>
      </c>
      <c r="D78" s="15"/>
      <c r="E78" s="23">
        <v>1375520</v>
      </c>
      <c r="F78" s="23"/>
      <c r="G78" s="23">
        <v>17411</v>
      </c>
      <c r="H78" s="23"/>
      <c r="I78" s="23">
        <v>0</v>
      </c>
      <c r="J78" s="23"/>
      <c r="K78" s="23">
        <v>0</v>
      </c>
      <c r="L78" s="23"/>
      <c r="M78" s="23">
        <f>+E78-G78-I78-K78</f>
        <v>1358109</v>
      </c>
      <c r="N78" s="23"/>
      <c r="O78" s="23">
        <v>0</v>
      </c>
      <c r="P78" s="23"/>
      <c r="Q78" s="23">
        <v>1227602</v>
      </c>
      <c r="R78" s="23"/>
      <c r="S78" s="23">
        <v>0</v>
      </c>
      <c r="T78" s="23"/>
      <c r="U78" s="23">
        <v>13972</v>
      </c>
      <c r="V78" s="23"/>
      <c r="W78" s="23">
        <v>4187</v>
      </c>
      <c r="X78" s="23"/>
      <c r="Y78" s="23">
        <v>0</v>
      </c>
      <c r="Z78" s="23"/>
      <c r="AA78" s="23">
        <v>0</v>
      </c>
      <c r="AB78" s="23"/>
      <c r="AC78" s="23">
        <v>0</v>
      </c>
      <c r="AD78" s="23"/>
      <c r="AE78" s="23">
        <f>SUM(O78:AC78)</f>
        <v>1245761</v>
      </c>
      <c r="AF78" s="23"/>
      <c r="AG78" s="23">
        <f>+M78-AE78</f>
        <v>112348</v>
      </c>
      <c r="AH78" s="23"/>
      <c r="AI78" s="23">
        <v>739323</v>
      </c>
      <c r="AJ78" s="23"/>
      <c r="AK78" s="23">
        <f>+AI78-AG78</f>
        <v>626975</v>
      </c>
    </row>
    <row r="79" spans="1:37" ht="12" customHeight="1">
      <c r="A79" s="4" t="s">
        <v>388</v>
      </c>
      <c r="B79" s="4"/>
      <c r="C79" s="4" t="s">
        <v>46</v>
      </c>
      <c r="D79" s="4"/>
      <c r="E79" s="4">
        <v>596351</v>
      </c>
      <c r="F79" s="4"/>
      <c r="G79" s="4">
        <v>21451</v>
      </c>
      <c r="H79" s="4"/>
      <c r="I79" s="4">
        <v>0</v>
      </c>
      <c r="J79" s="4"/>
      <c r="K79" s="4">
        <v>0</v>
      </c>
      <c r="L79" s="4"/>
      <c r="M79" s="23">
        <f>+E79-G79-I79-K79</f>
        <v>574900</v>
      </c>
      <c r="N79" s="4"/>
      <c r="O79" s="4">
        <v>0</v>
      </c>
      <c r="P79" s="4"/>
      <c r="Q79" s="4">
        <v>555747</v>
      </c>
      <c r="R79" s="4"/>
      <c r="S79" s="4">
        <v>0</v>
      </c>
      <c r="T79" s="4"/>
      <c r="U79" s="4">
        <v>4924</v>
      </c>
      <c r="V79" s="4"/>
      <c r="W79" s="4">
        <v>10574</v>
      </c>
      <c r="X79" s="4"/>
      <c r="Y79" s="4">
        <v>0</v>
      </c>
      <c r="Z79" s="4"/>
      <c r="AA79" s="4">
        <v>0</v>
      </c>
      <c r="AB79" s="4"/>
      <c r="AC79" s="4">
        <v>0</v>
      </c>
      <c r="AD79" s="4"/>
      <c r="AE79" s="23">
        <f>SUM(O79:AC79)</f>
        <v>571245</v>
      </c>
      <c r="AF79" s="4"/>
      <c r="AG79" s="23">
        <f>+M79-AE79</f>
        <v>3655</v>
      </c>
      <c r="AH79" s="4"/>
      <c r="AI79" s="4">
        <v>207082</v>
      </c>
      <c r="AJ79" s="4"/>
      <c r="AK79" s="23">
        <f>+AI79-AG79</f>
        <v>203427</v>
      </c>
    </row>
    <row r="80" spans="1:37" ht="12" customHeight="1">
      <c r="A80" s="4" t="s">
        <v>389</v>
      </c>
      <c r="B80" s="4"/>
      <c r="C80" s="4" t="s">
        <v>61</v>
      </c>
      <c r="D80" s="4"/>
      <c r="E80" s="4">
        <v>136860</v>
      </c>
      <c r="F80" s="4"/>
      <c r="G80" s="4">
        <v>1748</v>
      </c>
      <c r="H80" s="4"/>
      <c r="I80" s="4">
        <v>0</v>
      </c>
      <c r="J80" s="4"/>
      <c r="K80" s="4">
        <v>0</v>
      </c>
      <c r="L80" s="4"/>
      <c r="M80" s="23">
        <f>+E80-G80-I80-K80</f>
        <v>135112</v>
      </c>
      <c r="N80" s="4"/>
      <c r="O80" s="4">
        <v>18116</v>
      </c>
      <c r="P80" s="4"/>
      <c r="Q80" s="4">
        <v>109230</v>
      </c>
      <c r="R80" s="4"/>
      <c r="S80" s="4">
        <v>0</v>
      </c>
      <c r="T80" s="4"/>
      <c r="U80" s="4">
        <v>1133</v>
      </c>
      <c r="V80" s="4"/>
      <c r="W80" s="4">
        <v>2184</v>
      </c>
      <c r="X80" s="4"/>
      <c r="Y80" s="4">
        <v>0</v>
      </c>
      <c r="Z80" s="4"/>
      <c r="AA80" s="4">
        <v>0</v>
      </c>
      <c r="AB80" s="4"/>
      <c r="AC80" s="4">
        <v>0</v>
      </c>
      <c r="AD80" s="4"/>
      <c r="AE80" s="23">
        <f>SUM(O80:AC80)</f>
        <v>130663</v>
      </c>
      <c r="AF80" s="4"/>
      <c r="AG80" s="23">
        <f>+M80-AE80</f>
        <v>4449</v>
      </c>
      <c r="AH80" s="4"/>
      <c r="AI80" s="4">
        <v>79389</v>
      </c>
      <c r="AJ80" s="4"/>
      <c r="AK80" s="23">
        <f>+AI80-AG80</f>
        <v>74940</v>
      </c>
    </row>
    <row r="81" spans="1:37" ht="12" customHeight="1">
      <c r="A81" s="4" t="s">
        <v>242</v>
      </c>
      <c r="B81" s="4"/>
      <c r="C81" s="4" t="s">
        <v>167</v>
      </c>
      <c r="D81" s="4"/>
      <c r="E81" s="4">
        <v>1531375</v>
      </c>
      <c r="F81" s="4"/>
      <c r="G81" s="4">
        <v>53648</v>
      </c>
      <c r="H81" s="4"/>
      <c r="I81" s="4">
        <v>0</v>
      </c>
      <c r="J81" s="4"/>
      <c r="K81" s="4">
        <v>0</v>
      </c>
      <c r="L81" s="4"/>
      <c r="M81" s="23">
        <f>+E81-G81-I81-K81</f>
        <v>1477727</v>
      </c>
      <c r="N81" s="4"/>
      <c r="O81" s="4">
        <v>530876</v>
      </c>
      <c r="P81" s="4"/>
      <c r="Q81" s="4">
        <v>655813</v>
      </c>
      <c r="R81" s="4"/>
      <c r="S81" s="4">
        <v>0</v>
      </c>
      <c r="T81" s="4"/>
      <c r="U81" s="4">
        <v>127593</v>
      </c>
      <c r="V81" s="4"/>
      <c r="W81" s="4">
        <v>2809</v>
      </c>
      <c r="X81" s="4"/>
      <c r="Y81" s="4">
        <v>3502105</v>
      </c>
      <c r="Z81" s="4"/>
      <c r="AA81" s="4">
        <v>-2000</v>
      </c>
      <c r="AB81" s="4"/>
      <c r="AC81" s="4">
        <v>0</v>
      </c>
      <c r="AD81" s="4"/>
      <c r="AE81" s="23">
        <f>SUM(O81:AC81)</f>
        <v>4817196</v>
      </c>
      <c r="AF81" s="4"/>
      <c r="AG81" s="23">
        <f>+M81-AE81</f>
        <v>-3339469</v>
      </c>
      <c r="AH81" s="4"/>
      <c r="AI81" s="4">
        <v>2676290</v>
      </c>
      <c r="AJ81" s="4"/>
      <c r="AK81" s="23">
        <f>+AI81-AG81</f>
        <v>6015759</v>
      </c>
    </row>
    <row r="82" spans="1:37" ht="12" customHeight="1">
      <c r="A82" s="4" t="s">
        <v>390</v>
      </c>
      <c r="B82" s="4"/>
      <c r="C82" s="15" t="s">
        <v>43</v>
      </c>
      <c r="D82" s="4"/>
      <c r="E82" s="4">
        <v>210926</v>
      </c>
      <c r="F82" s="4"/>
      <c r="G82" s="4">
        <v>7221</v>
      </c>
      <c r="H82" s="4"/>
      <c r="I82" s="4">
        <v>0</v>
      </c>
      <c r="J82" s="4"/>
      <c r="K82" s="4">
        <v>0</v>
      </c>
      <c r="L82" s="4"/>
      <c r="M82" s="23">
        <f>+E82-G82-I82-K82</f>
        <v>203705</v>
      </c>
      <c r="N82" s="4"/>
      <c r="O82" s="4">
        <v>0</v>
      </c>
      <c r="P82" s="4"/>
      <c r="Q82" s="4">
        <v>185205</v>
      </c>
      <c r="R82" s="4"/>
      <c r="S82" s="4">
        <v>0</v>
      </c>
      <c r="T82" s="4"/>
      <c r="U82" s="4">
        <v>5865</v>
      </c>
      <c r="V82" s="4"/>
      <c r="W82" s="4">
        <v>311</v>
      </c>
      <c r="X82" s="4"/>
      <c r="Y82" s="4">
        <v>0</v>
      </c>
      <c r="Z82" s="4"/>
      <c r="AA82" s="4">
        <v>0</v>
      </c>
      <c r="AB82" s="4"/>
      <c r="AC82" s="4">
        <v>0</v>
      </c>
      <c r="AD82" s="4"/>
      <c r="AE82" s="23">
        <f>SUM(O82:AC82)</f>
        <v>191381</v>
      </c>
      <c r="AF82" s="4"/>
      <c r="AG82" s="23">
        <f>+M82-AE82</f>
        <v>12324</v>
      </c>
      <c r="AH82" s="4"/>
      <c r="AI82" s="4">
        <v>188660</v>
      </c>
      <c r="AJ82" s="4"/>
      <c r="AK82" s="23">
        <f>+AI82-AG82</f>
        <v>176336</v>
      </c>
    </row>
    <row r="83" spans="1:37" ht="12" customHeight="1">
      <c r="A83" s="7" t="s">
        <v>517</v>
      </c>
      <c r="B83" s="7"/>
      <c r="C83" s="7" t="s">
        <v>50</v>
      </c>
      <c r="D83" s="7"/>
      <c r="E83" s="4">
        <v>210409</v>
      </c>
      <c r="F83" s="4"/>
      <c r="G83" s="4">
        <v>1648</v>
      </c>
      <c r="H83" s="4"/>
      <c r="I83" s="4">
        <v>0</v>
      </c>
      <c r="J83" s="4"/>
      <c r="K83" s="4">
        <v>0</v>
      </c>
      <c r="L83" s="4"/>
      <c r="M83" s="23">
        <f>+E83-G83-I83-K83</f>
        <v>208761</v>
      </c>
      <c r="N83" s="4"/>
      <c r="O83" s="4">
        <v>0</v>
      </c>
      <c r="P83" s="4"/>
      <c r="Q83" s="4">
        <v>189504</v>
      </c>
      <c r="R83" s="4"/>
      <c r="S83" s="4">
        <v>0</v>
      </c>
      <c r="T83" s="4"/>
      <c r="U83" s="4">
        <v>1371</v>
      </c>
      <c r="V83" s="4"/>
      <c r="W83" s="4">
        <v>1054</v>
      </c>
      <c r="X83" s="4"/>
      <c r="Y83" s="4">
        <v>0</v>
      </c>
      <c r="Z83" s="4"/>
      <c r="AA83" s="4">
        <v>0</v>
      </c>
      <c r="AB83" s="4"/>
      <c r="AC83" s="4">
        <v>0</v>
      </c>
      <c r="AD83" s="4"/>
      <c r="AE83" s="23">
        <f>SUM(O83:AC83)</f>
        <v>191929</v>
      </c>
      <c r="AF83" s="4"/>
      <c r="AG83" s="23">
        <f>+M83-AE83</f>
        <v>16832</v>
      </c>
      <c r="AH83" s="4"/>
      <c r="AI83" s="4">
        <v>43596</v>
      </c>
      <c r="AJ83" s="4"/>
      <c r="AK83" s="23">
        <f>+AI83-AG83</f>
        <v>26764</v>
      </c>
    </row>
    <row r="84" spans="1:37" s="4" customFormat="1" ht="12">
      <c r="A84" s="4" t="s">
        <v>244</v>
      </c>
      <c r="C84" s="4" t="s">
        <v>19</v>
      </c>
      <c r="E84" s="4">
        <v>4684356</v>
      </c>
      <c r="G84" s="4">
        <v>61150</v>
      </c>
      <c r="I84" s="4">
        <v>12151</v>
      </c>
      <c r="K84" s="4">
        <v>75</v>
      </c>
      <c r="M84" s="23">
        <f>+E84-G84-I84-K84</f>
        <v>4610980</v>
      </c>
      <c r="O84" s="4">
        <v>3155979</v>
      </c>
      <c r="Q84" s="4">
        <v>1292999</v>
      </c>
      <c r="S84" s="4">
        <v>4454</v>
      </c>
      <c r="U84" s="4">
        <v>157439</v>
      </c>
      <c r="W84" s="4">
        <v>2590</v>
      </c>
      <c r="Y84" s="4">
        <v>0</v>
      </c>
      <c r="AA84" s="4">
        <v>0</v>
      </c>
      <c r="AC84" s="4">
        <v>1190</v>
      </c>
      <c r="AE84" s="23">
        <f>SUM(O84:AC84)</f>
        <v>4614651</v>
      </c>
      <c r="AG84" s="23">
        <f>+M84-AE84</f>
        <v>-3671</v>
      </c>
      <c r="AI84" s="4">
        <v>5760459</v>
      </c>
      <c r="AK84" s="23">
        <f>+AI84-AG84</f>
        <v>5764130</v>
      </c>
    </row>
    <row r="85" spans="1:37" s="4" customFormat="1" ht="12">
      <c r="A85" s="4" t="s">
        <v>521</v>
      </c>
      <c r="C85" s="4" t="s">
        <v>62</v>
      </c>
      <c r="E85" s="4">
        <v>341530</v>
      </c>
      <c r="G85" s="4">
        <v>13107</v>
      </c>
      <c r="I85" s="4">
        <v>9363</v>
      </c>
      <c r="K85" s="4">
        <v>0</v>
      </c>
      <c r="M85" s="23">
        <f>+E85-G85-I85-K85</f>
        <v>319060</v>
      </c>
      <c r="O85" s="4">
        <v>0</v>
      </c>
      <c r="Q85" s="4">
        <v>307826</v>
      </c>
      <c r="S85" s="4">
        <v>0</v>
      </c>
      <c r="U85" s="4">
        <v>9056</v>
      </c>
      <c r="W85" s="4">
        <v>0</v>
      </c>
      <c r="Y85" s="4">
        <v>0</v>
      </c>
      <c r="AA85" s="4">
        <v>0</v>
      </c>
      <c r="AC85" s="4">
        <v>0</v>
      </c>
      <c r="AE85" s="23">
        <f>SUM(O85:AC85)</f>
        <v>316882</v>
      </c>
      <c r="AG85" s="23">
        <f>+M85-AE85</f>
        <v>2178</v>
      </c>
      <c r="AI85" s="4">
        <v>354751</v>
      </c>
      <c r="AK85" s="23">
        <f>+AI85-AG85</f>
        <v>352573</v>
      </c>
    </row>
    <row r="86" spans="1:37" s="4" customFormat="1" ht="12">
      <c r="A86" s="4" t="s">
        <v>395</v>
      </c>
      <c r="C86" s="4" t="s">
        <v>44</v>
      </c>
      <c r="E86" s="4">
        <v>573229</v>
      </c>
      <c r="G86" s="4">
        <v>11753</v>
      </c>
      <c r="I86" s="4">
        <v>1420</v>
      </c>
      <c r="K86" s="4">
        <v>0</v>
      </c>
      <c r="M86" s="23">
        <f>+E86-G86-I86-K86</f>
        <v>560056</v>
      </c>
      <c r="O86" s="4">
        <v>0</v>
      </c>
      <c r="Q86" s="4">
        <v>529107</v>
      </c>
      <c r="S86" s="4">
        <v>0</v>
      </c>
      <c r="U86" s="4">
        <v>3023</v>
      </c>
      <c r="W86" s="4">
        <v>1984</v>
      </c>
      <c r="Y86" s="4">
        <v>0</v>
      </c>
      <c r="AA86" s="4">
        <v>0</v>
      </c>
      <c r="AC86" s="4">
        <v>0</v>
      </c>
      <c r="AE86" s="23">
        <f>SUM(O86:AC86)</f>
        <v>534114</v>
      </c>
      <c r="AG86" s="23">
        <f>+M86-AE86</f>
        <v>25942</v>
      </c>
      <c r="AI86" s="4">
        <v>128596</v>
      </c>
      <c r="AK86" s="23">
        <f>+AI86-AG86</f>
        <v>102654</v>
      </c>
    </row>
    <row r="87" spans="1:37" s="4" customFormat="1" ht="12">
      <c r="A87" s="12"/>
      <c r="B87" s="15"/>
      <c r="C87" s="15"/>
      <c r="D87" s="15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4" customFormat="1" ht="12">
      <c r="A88" s="12"/>
      <c r="B88" s="15"/>
      <c r="C88" s="15"/>
      <c r="D88" s="15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47" t="s">
        <v>593</v>
      </c>
    </row>
    <row r="89" spans="1:37" ht="12" customHeight="1">
      <c r="A89" s="58" t="s">
        <v>528</v>
      </c>
      <c r="B89" s="58"/>
      <c r="C89" s="58"/>
      <c r="D89" s="58"/>
      <c r="E89" s="5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2" customHeight="1">
      <c r="A90" s="15" t="s">
        <v>400</v>
      </c>
      <c r="B90" s="15"/>
      <c r="C90" s="15"/>
      <c r="D90" s="1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2" customHeight="1">
      <c r="A91" s="15" t="s">
        <v>527</v>
      </c>
      <c r="B91" s="15"/>
      <c r="C91" s="15"/>
      <c r="D91" s="15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2" customHeight="1">
      <c r="A92" s="15" t="s">
        <v>7</v>
      </c>
      <c r="B92" s="15"/>
      <c r="C92" s="15"/>
      <c r="D92" s="15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2" customHeight="1">
      <c r="B93" s="15"/>
      <c r="C93" s="15"/>
      <c r="D93" s="15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2" customHeight="1">
      <c r="A94" s="12" t="s">
        <v>401</v>
      </c>
      <c r="B94" s="15"/>
      <c r="C94" s="15"/>
      <c r="D94" s="15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2" customHeight="1">
      <c r="A95" s="15"/>
      <c r="B95" s="15"/>
      <c r="C95" s="15"/>
      <c r="D95" s="15"/>
      <c r="E95" s="61"/>
      <c r="F95" s="61"/>
      <c r="G95" s="62" t="s">
        <v>350</v>
      </c>
      <c r="H95" s="62"/>
      <c r="I95" s="62"/>
      <c r="J95" s="62"/>
      <c r="K95" s="62"/>
      <c r="L95" s="23"/>
      <c r="M95" s="23"/>
      <c r="N95" s="23"/>
      <c r="O95" s="62" t="s">
        <v>351</v>
      </c>
      <c r="P95" s="62"/>
      <c r="Q95" s="62"/>
      <c r="R95" s="62"/>
      <c r="S95" s="62"/>
      <c r="T95" s="62"/>
      <c r="U95" s="62"/>
      <c r="V95" s="62"/>
      <c r="W95" s="62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2" customHeight="1">
      <c r="A96" s="15"/>
      <c r="B96" s="15"/>
      <c r="C96" s="15"/>
      <c r="D96" s="15"/>
      <c r="E96" s="61"/>
      <c r="F96" s="61"/>
      <c r="G96" s="61"/>
      <c r="H96" s="61"/>
      <c r="I96" s="63" t="s">
        <v>402</v>
      </c>
      <c r="J96" s="61"/>
      <c r="K96" s="61"/>
      <c r="L96" s="23"/>
      <c r="M96" s="23"/>
      <c r="N96" s="23"/>
      <c r="O96" s="23"/>
      <c r="P96" s="23"/>
      <c r="Q96" s="27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2" customHeight="1">
      <c r="D97" s="15"/>
      <c r="E97" s="61"/>
      <c r="F97" s="61"/>
      <c r="G97" s="61"/>
      <c r="H97" s="61"/>
      <c r="I97" s="63" t="s">
        <v>403</v>
      </c>
      <c r="J97" s="61"/>
      <c r="K97" s="61"/>
      <c r="L97" s="23"/>
      <c r="M97" s="63" t="s">
        <v>408</v>
      </c>
      <c r="N97" s="61"/>
      <c r="O97" s="63" t="s">
        <v>31</v>
      </c>
      <c r="P97" s="61"/>
      <c r="Q97" s="63" t="s">
        <v>403</v>
      </c>
      <c r="R97" s="61"/>
      <c r="S97" s="63" t="s">
        <v>413</v>
      </c>
      <c r="T97" s="61"/>
      <c r="U97" s="61"/>
      <c r="V97" s="61"/>
      <c r="W97" s="61"/>
      <c r="X97" s="61"/>
      <c r="Y97" s="61"/>
      <c r="Z97" s="61"/>
      <c r="AA97" s="63" t="s">
        <v>416</v>
      </c>
      <c r="AB97" s="23"/>
      <c r="AC97" s="63" t="s">
        <v>409</v>
      </c>
      <c r="AD97" s="23"/>
      <c r="AE97" s="63"/>
      <c r="AF97" s="61"/>
      <c r="AG97" s="63" t="s">
        <v>410</v>
      </c>
      <c r="AH97" s="61"/>
      <c r="AI97" s="63" t="s">
        <v>411</v>
      </c>
      <c r="AJ97" s="61"/>
      <c r="AK97" s="63" t="s">
        <v>408</v>
      </c>
    </row>
    <row r="98" spans="1:37" ht="12" customHeight="1">
      <c r="A98" s="64"/>
      <c r="B98" s="64"/>
      <c r="C98" s="15"/>
      <c r="D98" s="15"/>
      <c r="E98" s="63" t="s">
        <v>404</v>
      </c>
      <c r="F98" s="61"/>
      <c r="G98" s="63" t="s">
        <v>405</v>
      </c>
      <c r="H98" s="61"/>
      <c r="I98" s="63" t="s">
        <v>406</v>
      </c>
      <c r="J98" s="61"/>
      <c r="K98" s="63" t="s">
        <v>30</v>
      </c>
      <c r="L98" s="23"/>
      <c r="M98" s="63" t="s">
        <v>522</v>
      </c>
      <c r="N98" s="61"/>
      <c r="O98" s="63" t="s">
        <v>412</v>
      </c>
      <c r="P98" s="61"/>
      <c r="Q98" s="63" t="s">
        <v>552</v>
      </c>
      <c r="R98" s="61"/>
      <c r="S98" s="63" t="s">
        <v>551</v>
      </c>
      <c r="T98" s="61"/>
      <c r="U98" s="63" t="s">
        <v>414</v>
      </c>
      <c r="V98" s="61"/>
      <c r="W98" s="61"/>
      <c r="X98" s="61"/>
      <c r="Y98" s="63" t="s">
        <v>415</v>
      </c>
      <c r="Z98" s="61"/>
      <c r="AA98" s="63" t="s">
        <v>590</v>
      </c>
      <c r="AB98" s="23"/>
      <c r="AC98" s="63" t="s">
        <v>417</v>
      </c>
      <c r="AD98" s="23"/>
      <c r="AE98" s="63" t="s">
        <v>28</v>
      </c>
      <c r="AF98" s="61"/>
      <c r="AG98" s="63" t="s">
        <v>418</v>
      </c>
      <c r="AH98" s="61"/>
      <c r="AI98" s="63" t="s">
        <v>419</v>
      </c>
      <c r="AJ98" s="61"/>
      <c r="AK98" s="63" t="s">
        <v>32</v>
      </c>
    </row>
    <row r="99" spans="1:37" s="4" customFormat="1" ht="12">
      <c r="A99" s="49" t="s">
        <v>8</v>
      </c>
      <c r="B99" s="64"/>
      <c r="C99" s="40" t="s">
        <v>6</v>
      </c>
      <c r="D99" s="64"/>
      <c r="E99" s="65" t="s">
        <v>592</v>
      </c>
      <c r="F99" s="64"/>
      <c r="G99" s="66" t="s">
        <v>29</v>
      </c>
      <c r="H99" s="64"/>
      <c r="I99" s="66" t="s">
        <v>407</v>
      </c>
      <c r="J99" s="64"/>
      <c r="K99" s="66" t="s">
        <v>403</v>
      </c>
      <c r="L99" s="64"/>
      <c r="M99" s="66" t="s">
        <v>420</v>
      </c>
      <c r="N99" s="64"/>
      <c r="O99" s="66" t="s">
        <v>421</v>
      </c>
      <c r="P99" s="64"/>
      <c r="Q99" s="66" t="s">
        <v>553</v>
      </c>
      <c r="R99" s="64"/>
      <c r="S99" s="66" t="s">
        <v>406</v>
      </c>
      <c r="T99" s="64"/>
      <c r="U99" s="66" t="s">
        <v>422</v>
      </c>
      <c r="V99" s="64"/>
      <c r="W99" s="66" t="s">
        <v>0</v>
      </c>
      <c r="X99" s="64"/>
      <c r="Y99" s="66" t="s">
        <v>423</v>
      </c>
      <c r="Z99" s="64"/>
      <c r="AA99" s="66" t="s">
        <v>591</v>
      </c>
      <c r="AB99" s="64"/>
      <c r="AC99" s="66" t="s">
        <v>424</v>
      </c>
      <c r="AD99" s="64"/>
      <c r="AE99" s="66" t="s">
        <v>561</v>
      </c>
      <c r="AF99" s="64"/>
      <c r="AG99" s="66" t="s">
        <v>32</v>
      </c>
      <c r="AH99" s="64"/>
      <c r="AI99" s="66" t="s">
        <v>425</v>
      </c>
      <c r="AJ99" s="64"/>
      <c r="AK99" s="66" t="s">
        <v>426</v>
      </c>
    </row>
    <row r="100" spans="1:37" s="67" customFormat="1" ht="12" customHeight="1">
      <c r="A100" s="45" t="s">
        <v>567</v>
      </c>
      <c r="B100" s="45"/>
      <c r="C100" s="45" t="s">
        <v>13</v>
      </c>
      <c r="D100" s="45"/>
      <c r="E100" s="45">
        <v>578689</v>
      </c>
      <c r="F100" s="45"/>
      <c r="G100" s="45">
        <v>11395</v>
      </c>
      <c r="H100" s="45"/>
      <c r="I100" s="45">
        <v>12149</v>
      </c>
      <c r="J100" s="45"/>
      <c r="K100" s="45">
        <v>0</v>
      </c>
      <c r="L100" s="45"/>
      <c r="M100" s="46">
        <f>+E100-G100-I100-K100</f>
        <v>555145</v>
      </c>
      <c r="N100" s="45"/>
      <c r="O100" s="45">
        <v>0</v>
      </c>
      <c r="P100" s="45"/>
      <c r="Q100" s="45">
        <v>506105</v>
      </c>
      <c r="R100" s="45"/>
      <c r="S100" s="45">
        <v>0</v>
      </c>
      <c r="T100" s="45"/>
      <c r="U100" s="45">
        <v>17403</v>
      </c>
      <c r="V100" s="45"/>
      <c r="W100" s="45">
        <v>1867</v>
      </c>
      <c r="X100" s="45"/>
      <c r="Y100" s="45">
        <v>0</v>
      </c>
      <c r="Z100" s="45"/>
      <c r="AA100" s="45">
        <v>0</v>
      </c>
      <c r="AB100" s="45"/>
      <c r="AC100" s="45">
        <v>0</v>
      </c>
      <c r="AD100" s="45"/>
      <c r="AE100" s="46">
        <f>SUM(O100:AC100)</f>
        <v>525375</v>
      </c>
      <c r="AF100" s="45"/>
      <c r="AG100" s="46">
        <f>+M100-AE100</f>
        <v>29770</v>
      </c>
      <c r="AH100" s="45"/>
      <c r="AI100" s="45">
        <v>738131</v>
      </c>
      <c r="AJ100" s="45"/>
      <c r="AK100" s="46">
        <f>+AI100-AG100</f>
        <v>708361</v>
      </c>
    </row>
    <row r="101" spans="1:37" s="4" customFormat="1" ht="12">
      <c r="A101" s="12" t="s">
        <v>255</v>
      </c>
      <c r="B101" s="15"/>
      <c r="C101" s="15" t="s">
        <v>25</v>
      </c>
      <c r="D101" s="15"/>
      <c r="E101" s="23">
        <v>14642019</v>
      </c>
      <c r="F101" s="23"/>
      <c r="G101" s="23">
        <v>328676</v>
      </c>
      <c r="H101" s="23"/>
      <c r="I101" s="23">
        <v>16314</v>
      </c>
      <c r="J101" s="23"/>
      <c r="K101" s="23">
        <v>20000</v>
      </c>
      <c r="L101" s="23"/>
      <c r="M101" s="23">
        <f>+E101-G101-I101-K101</f>
        <v>14277029</v>
      </c>
      <c r="N101" s="23"/>
      <c r="O101" s="23">
        <v>4055760</v>
      </c>
      <c r="P101" s="23"/>
      <c r="Q101" s="23">
        <f>903156+8176786</f>
        <v>9079942</v>
      </c>
      <c r="R101" s="23"/>
      <c r="S101" s="23">
        <v>5170</v>
      </c>
      <c r="T101" s="23"/>
      <c r="U101" s="23">
        <v>75581</v>
      </c>
      <c r="V101" s="23"/>
      <c r="W101" s="23">
        <v>57732</v>
      </c>
      <c r="X101" s="23"/>
      <c r="Y101" s="23">
        <v>0</v>
      </c>
      <c r="Z101" s="23"/>
      <c r="AA101" s="23">
        <v>0</v>
      </c>
      <c r="AB101" s="23"/>
      <c r="AC101" s="23">
        <v>0</v>
      </c>
      <c r="AD101" s="23"/>
      <c r="AE101" s="23">
        <f>SUM(O101:AC101)</f>
        <v>13274185</v>
      </c>
      <c r="AF101" s="23"/>
      <c r="AG101" s="23">
        <f>+M101-AE101</f>
        <v>1002844</v>
      </c>
      <c r="AH101" s="23"/>
      <c r="AI101" s="23">
        <v>3290775</v>
      </c>
      <c r="AJ101" s="23"/>
      <c r="AK101" s="23">
        <f>+AI101-AG101</f>
        <v>2287931</v>
      </c>
    </row>
    <row r="102" spans="1:37" s="4" customFormat="1" ht="12">
      <c r="A102" s="12" t="s">
        <v>258</v>
      </c>
      <c r="B102" s="12"/>
      <c r="C102" s="12" t="s">
        <v>22</v>
      </c>
      <c r="D102" s="15"/>
      <c r="E102" s="23">
        <v>2338354</v>
      </c>
      <c r="F102" s="23"/>
      <c r="G102" s="23">
        <v>74600</v>
      </c>
      <c r="H102" s="23"/>
      <c r="I102" s="23">
        <v>0</v>
      </c>
      <c r="J102" s="23"/>
      <c r="K102" s="23">
        <v>0</v>
      </c>
      <c r="L102" s="23"/>
      <c r="M102" s="23">
        <f>+E102-G102-I102-K102</f>
        <v>2263754</v>
      </c>
      <c r="N102" s="23"/>
      <c r="O102" s="23">
        <v>798059</v>
      </c>
      <c r="P102" s="23"/>
      <c r="Q102" s="23">
        <v>1440659</v>
      </c>
      <c r="R102" s="23"/>
      <c r="S102" s="23">
        <v>6763</v>
      </c>
      <c r="T102" s="23"/>
      <c r="U102" s="23">
        <v>21700</v>
      </c>
      <c r="V102" s="23"/>
      <c r="W102" s="23">
        <v>8979</v>
      </c>
      <c r="X102" s="23"/>
      <c r="Y102" s="23">
        <v>0</v>
      </c>
      <c r="Z102" s="23"/>
      <c r="AA102" s="23">
        <v>0</v>
      </c>
      <c r="AB102" s="23"/>
      <c r="AC102" s="23">
        <v>0</v>
      </c>
      <c r="AD102" s="23"/>
      <c r="AE102" s="23">
        <f>SUM(O102:AC102)</f>
        <v>2276160</v>
      </c>
      <c r="AF102" s="23"/>
      <c r="AG102" s="23">
        <f>+M102-AE102</f>
        <v>-12406</v>
      </c>
      <c r="AH102" s="23"/>
      <c r="AI102" s="23">
        <v>824296</v>
      </c>
      <c r="AJ102" s="23"/>
      <c r="AK102" s="23">
        <f>+AI102-AG102</f>
        <v>836702</v>
      </c>
    </row>
    <row r="103" spans="1:37" s="4" customFormat="1" ht="12">
      <c r="A103" s="4" t="s">
        <v>581</v>
      </c>
      <c r="C103" s="4" t="s">
        <v>582</v>
      </c>
      <c r="E103" s="4">
        <v>56225175</v>
      </c>
      <c r="G103" s="4">
        <v>2003232</v>
      </c>
      <c r="I103" s="4">
        <v>1457467</v>
      </c>
      <c r="K103" s="4">
        <v>0</v>
      </c>
      <c r="M103" s="23">
        <f>+E103-G103-I103-K103</f>
        <v>52764476</v>
      </c>
      <c r="O103" s="4">
        <v>0</v>
      </c>
      <c r="Q103" s="4">
        <v>47887165</v>
      </c>
      <c r="S103" s="4">
        <v>3747</v>
      </c>
      <c r="U103" s="4">
        <f>41875+564357</f>
        <v>606232</v>
      </c>
      <c r="W103" s="4">
        <v>811488</v>
      </c>
      <c r="Y103" s="4">
        <v>0</v>
      </c>
      <c r="AA103" s="4">
        <v>0</v>
      </c>
      <c r="AC103" s="23">
        <v>0</v>
      </c>
      <c r="AE103" s="23">
        <f>SUM(O103:AC103)</f>
        <v>49308632</v>
      </c>
      <c r="AG103" s="23">
        <f>+M103-AE103</f>
        <v>3455844</v>
      </c>
      <c r="AI103" s="4">
        <v>141098799</v>
      </c>
      <c r="AK103" s="23">
        <f>+AI103-AG103</f>
        <v>137642955</v>
      </c>
    </row>
    <row r="104" spans="1:37" s="4" customFormat="1" ht="12">
      <c r="A104" s="12" t="s">
        <v>448</v>
      </c>
      <c r="B104" s="12"/>
      <c r="C104" s="12" t="s">
        <v>53</v>
      </c>
      <c r="D104" s="15"/>
      <c r="E104" s="23">
        <v>705273</v>
      </c>
      <c r="F104" s="23"/>
      <c r="G104" s="23">
        <v>16156</v>
      </c>
      <c r="H104" s="23"/>
      <c r="I104" s="23">
        <v>21256</v>
      </c>
      <c r="J104" s="23"/>
      <c r="K104" s="23">
        <v>0</v>
      </c>
      <c r="L104" s="23"/>
      <c r="M104" s="23">
        <f>+E104-G104-I104-K104</f>
        <v>667861</v>
      </c>
      <c r="N104" s="23"/>
      <c r="O104" s="23">
        <v>0</v>
      </c>
      <c r="P104" s="23"/>
      <c r="Q104" s="23">
        <v>570791</v>
      </c>
      <c r="R104" s="23"/>
      <c r="S104" s="23">
        <v>7860</v>
      </c>
      <c r="T104" s="23"/>
      <c r="U104" s="23">
        <v>17296</v>
      </c>
      <c r="V104" s="23"/>
      <c r="W104" s="23">
        <v>10443</v>
      </c>
      <c r="X104" s="23"/>
      <c r="Y104" s="23">
        <v>0</v>
      </c>
      <c r="Z104" s="23"/>
      <c r="AA104" s="23">
        <v>0</v>
      </c>
      <c r="AB104" s="23"/>
      <c r="AC104" s="23">
        <v>0</v>
      </c>
      <c r="AD104" s="23"/>
      <c r="AE104" s="23">
        <f>SUM(O104:AC104)</f>
        <v>606390</v>
      </c>
      <c r="AF104" s="23"/>
      <c r="AG104" s="23">
        <f>+M104-AE104</f>
        <v>61471</v>
      </c>
      <c r="AH104" s="23"/>
      <c r="AI104" s="23">
        <v>528561</v>
      </c>
      <c r="AJ104" s="23"/>
      <c r="AK104" s="23">
        <f>+AI104-AG104</f>
        <v>467090</v>
      </c>
    </row>
    <row r="105" spans="1:37" s="4" customFormat="1" ht="12">
      <c r="A105" s="12" t="s">
        <v>263</v>
      </c>
      <c r="B105" s="12"/>
      <c r="C105" s="12" t="s">
        <v>318</v>
      </c>
      <c r="D105" s="15"/>
      <c r="E105" s="23">
        <v>37183175</v>
      </c>
      <c r="F105" s="23"/>
      <c r="G105" s="23">
        <v>910169</v>
      </c>
      <c r="H105" s="23"/>
      <c r="I105" s="23">
        <v>43084</v>
      </c>
      <c r="J105" s="23"/>
      <c r="K105" s="23">
        <v>0</v>
      </c>
      <c r="L105" s="23"/>
      <c r="M105" s="23">
        <f>+E105-G105-I105-K105</f>
        <v>36229922</v>
      </c>
      <c r="N105" s="23"/>
      <c r="O105" s="23">
        <v>15800391</v>
      </c>
      <c r="P105" s="23"/>
      <c r="Q105" s="23">
        <v>21000727</v>
      </c>
      <c r="R105" s="23"/>
      <c r="S105" s="23">
        <v>49802</v>
      </c>
      <c r="T105" s="23"/>
      <c r="U105" s="23">
        <v>244555</v>
      </c>
      <c r="V105" s="23"/>
      <c r="W105" s="23">
        <f>151739</f>
        <v>151739</v>
      </c>
      <c r="X105" s="23"/>
      <c r="Y105" s="23">
        <v>0</v>
      </c>
      <c r="Z105" s="23"/>
      <c r="AA105" s="23">
        <v>0</v>
      </c>
      <c r="AB105" s="23"/>
      <c r="AC105" s="23">
        <v>0</v>
      </c>
      <c r="AD105" s="23"/>
      <c r="AE105" s="23">
        <f>SUM(O105:AC105)</f>
        <v>37247214</v>
      </c>
      <c r="AF105" s="23"/>
      <c r="AG105" s="23">
        <f>+M105-AE105</f>
        <v>-1017292</v>
      </c>
      <c r="AH105" s="23"/>
      <c r="AI105" s="23">
        <v>94138003</v>
      </c>
      <c r="AJ105" s="23"/>
      <c r="AK105" s="23">
        <f>+AI105-AG105</f>
        <v>95155295</v>
      </c>
    </row>
    <row r="106" spans="1:37" s="4" customFormat="1" ht="12">
      <c r="A106" s="12" t="s">
        <v>449</v>
      </c>
      <c r="B106" s="12"/>
      <c r="C106" s="12" t="s">
        <v>53</v>
      </c>
      <c r="D106" s="15"/>
      <c r="E106" s="23">
        <v>2005092</v>
      </c>
      <c r="F106" s="23"/>
      <c r="G106" s="23">
        <v>48673</v>
      </c>
      <c r="H106" s="23"/>
      <c r="I106" s="23">
        <v>33040</v>
      </c>
      <c r="J106" s="23"/>
      <c r="K106" s="23">
        <v>0</v>
      </c>
      <c r="L106" s="23"/>
      <c r="M106" s="23">
        <f>+E106-G106-I106-K106</f>
        <v>1923379</v>
      </c>
      <c r="N106" s="23"/>
      <c r="O106" s="23">
        <v>0</v>
      </c>
      <c r="P106" s="23"/>
      <c r="Q106" s="23">
        <v>0</v>
      </c>
      <c r="R106" s="23"/>
      <c r="S106" s="23">
        <v>1237</v>
      </c>
      <c r="T106" s="23"/>
      <c r="U106" s="23">
        <v>54151</v>
      </c>
      <c r="V106" s="23"/>
      <c r="W106" s="23">
        <f>1517006+3960</f>
        <v>1520966</v>
      </c>
      <c r="X106" s="23"/>
      <c r="Y106" s="23">
        <v>0</v>
      </c>
      <c r="Z106" s="23"/>
      <c r="AA106" s="23">
        <v>0</v>
      </c>
      <c r="AB106" s="23"/>
      <c r="AC106" s="23">
        <v>0</v>
      </c>
      <c r="AD106" s="23"/>
      <c r="AE106" s="23">
        <f>SUM(O106:AC106)</f>
        <v>1576354</v>
      </c>
      <c r="AF106" s="23"/>
      <c r="AG106" s="23">
        <f>+M106-AE106</f>
        <v>347025</v>
      </c>
      <c r="AH106" s="23"/>
      <c r="AI106" s="23">
        <v>1480802</v>
      </c>
      <c r="AJ106" s="23"/>
      <c r="AK106" s="23">
        <f>+AI106-AG106</f>
        <v>1133777</v>
      </c>
    </row>
    <row r="107" spans="1:37" s="4" customFormat="1" ht="12">
      <c r="A107" s="12" t="s">
        <v>265</v>
      </c>
      <c r="B107" s="12"/>
      <c r="C107" s="12" t="s">
        <v>26</v>
      </c>
      <c r="D107" s="15"/>
      <c r="E107" s="23">
        <v>2290429</v>
      </c>
      <c r="F107" s="23"/>
      <c r="G107" s="23">
        <v>53845</v>
      </c>
      <c r="H107" s="23"/>
      <c r="I107" s="23">
        <v>0</v>
      </c>
      <c r="J107" s="23"/>
      <c r="K107" s="23">
        <v>0</v>
      </c>
      <c r="L107" s="23"/>
      <c r="M107" s="23">
        <f>+E107-G107-I107-K107</f>
        <v>2236584</v>
      </c>
      <c r="N107" s="23"/>
      <c r="O107" s="23">
        <v>402263</v>
      </c>
      <c r="P107" s="23"/>
      <c r="Q107" s="23">
        <v>1592954</v>
      </c>
      <c r="R107" s="23"/>
      <c r="S107" s="23">
        <v>28647</v>
      </c>
      <c r="T107" s="23"/>
      <c r="U107" s="23">
        <v>20828</v>
      </c>
      <c r="V107" s="23"/>
      <c r="W107" s="23">
        <v>1559</v>
      </c>
      <c r="X107" s="23"/>
      <c r="Y107" s="23">
        <v>451</v>
      </c>
      <c r="Z107" s="23"/>
      <c r="AA107" s="23">
        <v>0</v>
      </c>
      <c r="AB107" s="23"/>
      <c r="AC107" s="23">
        <v>0</v>
      </c>
      <c r="AD107" s="23"/>
      <c r="AE107" s="23">
        <f>SUM(O107:AC107)</f>
        <v>2046702</v>
      </c>
      <c r="AF107" s="23"/>
      <c r="AG107" s="23">
        <f>+M107-AE107</f>
        <v>189882</v>
      </c>
      <c r="AH107" s="23"/>
      <c r="AI107" s="23">
        <v>783483</v>
      </c>
      <c r="AJ107" s="23"/>
      <c r="AK107" s="23">
        <f>+AI107-AG107</f>
        <v>593601</v>
      </c>
    </row>
    <row r="108" spans="1:37" s="4" customFormat="1" ht="12">
      <c r="A108" s="12" t="s">
        <v>319</v>
      </c>
      <c r="B108" s="12"/>
      <c r="C108" s="12" t="s">
        <v>22</v>
      </c>
      <c r="D108" s="15"/>
      <c r="E108" s="23">
        <v>2539304</v>
      </c>
      <c r="F108" s="23"/>
      <c r="G108" s="23">
        <v>57466</v>
      </c>
      <c r="H108" s="23"/>
      <c r="I108" s="23">
        <v>16835</v>
      </c>
      <c r="J108" s="23"/>
      <c r="K108" s="23">
        <v>939</v>
      </c>
      <c r="L108" s="23"/>
      <c r="M108" s="23">
        <f>+E108-G108-I108-K108</f>
        <v>2464064</v>
      </c>
      <c r="N108" s="23"/>
      <c r="O108" s="23">
        <v>682013</v>
      </c>
      <c r="P108" s="23"/>
      <c r="Q108" s="23">
        <v>1580053</v>
      </c>
      <c r="R108" s="23"/>
      <c r="S108" s="23">
        <v>510</v>
      </c>
      <c r="T108" s="23"/>
      <c r="U108" s="23">
        <v>16338</v>
      </c>
      <c r="V108" s="23"/>
      <c r="W108" s="23">
        <v>3940</v>
      </c>
      <c r="X108" s="23"/>
      <c r="Y108" s="23">
        <v>0</v>
      </c>
      <c r="Z108" s="23"/>
      <c r="AA108" s="23">
        <v>0</v>
      </c>
      <c r="AB108" s="23"/>
      <c r="AC108" s="23">
        <v>0</v>
      </c>
      <c r="AD108" s="23"/>
      <c r="AE108" s="23">
        <f>SUM(O108:AC108)</f>
        <v>2282854</v>
      </c>
      <c r="AF108" s="23"/>
      <c r="AG108" s="23">
        <f>+M108-AE108</f>
        <v>181210</v>
      </c>
      <c r="AH108" s="23"/>
      <c r="AI108" s="23">
        <v>693805</v>
      </c>
      <c r="AJ108" s="23"/>
      <c r="AK108" s="23">
        <f>+AI108-AG108</f>
        <v>512595</v>
      </c>
    </row>
    <row r="109" spans="1:37" s="4" customFormat="1" ht="12">
      <c r="A109" s="12" t="s">
        <v>346</v>
      </c>
      <c r="B109" s="12"/>
      <c r="C109" s="12" t="s">
        <v>27</v>
      </c>
      <c r="D109" s="15"/>
      <c r="E109" s="23">
        <v>2340130</v>
      </c>
      <c r="F109" s="23"/>
      <c r="G109" s="23">
        <v>80153</v>
      </c>
      <c r="H109" s="23"/>
      <c r="I109" s="23">
        <v>500</v>
      </c>
      <c r="J109" s="23"/>
      <c r="K109" s="23">
        <v>0</v>
      </c>
      <c r="L109" s="23"/>
      <c r="M109" s="23">
        <f>+E109-G109-I109-K109</f>
        <v>2259477</v>
      </c>
      <c r="N109" s="23"/>
      <c r="O109" s="23">
        <v>0</v>
      </c>
      <c r="P109" s="23"/>
      <c r="Q109" s="23">
        <f>6220+2331355</f>
        <v>2337575</v>
      </c>
      <c r="R109" s="23"/>
      <c r="S109" s="23">
        <v>0</v>
      </c>
      <c r="T109" s="23"/>
      <c r="U109" s="23">
        <v>44196</v>
      </c>
      <c r="V109" s="23"/>
      <c r="W109" s="23">
        <f>1998+791</f>
        <v>2789</v>
      </c>
      <c r="X109" s="23"/>
      <c r="Y109" s="23">
        <v>0</v>
      </c>
      <c r="Z109" s="23"/>
      <c r="AA109" s="23">
        <v>0</v>
      </c>
      <c r="AB109" s="23"/>
      <c r="AC109" s="23">
        <v>0</v>
      </c>
      <c r="AD109" s="23"/>
      <c r="AE109" s="23">
        <f>SUM(O109:AC109)</f>
        <v>2384560</v>
      </c>
      <c r="AF109" s="23"/>
      <c r="AG109" s="23">
        <f>+M109-AE109</f>
        <v>-125083</v>
      </c>
      <c r="AH109" s="23"/>
      <c r="AI109" s="23">
        <v>1703115</v>
      </c>
      <c r="AJ109" s="23"/>
      <c r="AK109" s="23">
        <f>+AI109-AG109</f>
        <v>1828198</v>
      </c>
    </row>
    <row r="110" spans="1:37" s="4" customFormat="1" ht="12">
      <c r="A110" s="4" t="s">
        <v>270</v>
      </c>
      <c r="C110" s="4" t="s">
        <v>225</v>
      </c>
      <c r="E110" s="4">
        <v>7447004</v>
      </c>
      <c r="G110" s="4">
        <v>184073</v>
      </c>
      <c r="I110" s="4">
        <v>0</v>
      </c>
      <c r="K110" s="4">
        <v>3731</v>
      </c>
      <c r="M110" s="23">
        <f>+E110-G110-I110-K110</f>
        <v>7259200</v>
      </c>
      <c r="O110" s="4">
        <f>1382684+415640</f>
        <v>1798324</v>
      </c>
      <c r="Q110" s="4">
        <v>3790672</v>
      </c>
      <c r="S110" s="4">
        <v>9151</v>
      </c>
      <c r="U110" s="4">
        <f>35826+112945</f>
        <v>148771</v>
      </c>
      <c r="W110" s="4">
        <v>134023</v>
      </c>
      <c r="Y110" s="4">
        <v>0</v>
      </c>
      <c r="AA110" s="4">
        <v>0</v>
      </c>
      <c r="AC110" s="4">
        <v>0</v>
      </c>
      <c r="AE110" s="23">
        <f>SUM(O110:AC110)</f>
        <v>5880941</v>
      </c>
      <c r="AG110" s="23">
        <f>+M110-AE110</f>
        <v>1378259</v>
      </c>
      <c r="AI110" s="4">
        <v>4494707</v>
      </c>
      <c r="AK110" s="23">
        <f>+AI110-AG110</f>
        <v>3116448</v>
      </c>
    </row>
    <row r="111" spans="1:37" s="4" customFormat="1" ht="12">
      <c r="A111" s="15" t="s">
        <v>589</v>
      </c>
      <c r="C111" s="15" t="s">
        <v>65</v>
      </c>
      <c r="E111" s="15">
        <v>457483</v>
      </c>
      <c r="G111" s="15">
        <v>7990</v>
      </c>
      <c r="I111" s="15">
        <v>355</v>
      </c>
      <c r="K111" s="15">
        <v>0</v>
      </c>
      <c r="M111" s="23">
        <f>+E111-G111-I111-K111</f>
        <v>449138</v>
      </c>
      <c r="O111" s="15">
        <v>0</v>
      </c>
      <c r="Q111" s="4">
        <v>391333</v>
      </c>
      <c r="S111" s="15">
        <v>0</v>
      </c>
      <c r="U111" s="15">
        <v>23404</v>
      </c>
      <c r="W111" s="15">
        <v>1060</v>
      </c>
      <c r="Y111" s="15">
        <v>0</v>
      </c>
      <c r="AA111" s="15">
        <v>0</v>
      </c>
      <c r="AC111" s="15">
        <v>0</v>
      </c>
      <c r="AE111" s="23">
        <f>SUM(O111:AC111)</f>
        <v>415797</v>
      </c>
      <c r="AG111" s="23">
        <f>+M111-AE111</f>
        <v>33341</v>
      </c>
      <c r="AI111" s="15">
        <v>849864</v>
      </c>
      <c r="AK111" s="23">
        <f>+AI111-AG111</f>
        <v>816523</v>
      </c>
    </row>
    <row r="112" spans="1:37" s="4" customFormat="1" ht="12">
      <c r="A112" s="4" t="s">
        <v>39</v>
      </c>
      <c r="C112" s="4" t="s">
        <v>15</v>
      </c>
      <c r="E112" s="4">
        <v>1327702</v>
      </c>
      <c r="G112" s="4">
        <v>25713</v>
      </c>
      <c r="I112" s="4">
        <v>0</v>
      </c>
      <c r="K112" s="4">
        <v>0</v>
      </c>
      <c r="M112" s="23">
        <f>+E112-G112-I112-K112</f>
        <v>1301989</v>
      </c>
      <c r="O112" s="4">
        <v>839113</v>
      </c>
      <c r="Q112" s="4">
        <v>869669</v>
      </c>
      <c r="S112" s="4">
        <v>0</v>
      </c>
      <c r="U112" s="4">
        <v>48214</v>
      </c>
      <c r="W112" s="4">
        <v>18874</v>
      </c>
      <c r="Y112" s="4">
        <v>0</v>
      </c>
      <c r="AA112" s="4">
        <v>0</v>
      </c>
      <c r="AC112" s="4">
        <v>0</v>
      </c>
      <c r="AE112" s="23">
        <f>SUM(O112:AC112)</f>
        <v>1775870</v>
      </c>
      <c r="AG112" s="23">
        <f>+M112-AE112</f>
        <v>-473881</v>
      </c>
      <c r="AI112" s="4">
        <v>1658425</v>
      </c>
      <c r="AK112" s="23">
        <f>+AI112-AG112</f>
        <v>2132306</v>
      </c>
    </row>
    <row r="113" spans="1:37" s="4" customFormat="1" ht="12">
      <c r="A113" s="12" t="s">
        <v>276</v>
      </c>
      <c r="B113" s="12"/>
      <c r="C113" s="12" t="s">
        <v>15</v>
      </c>
      <c r="D113" s="15"/>
      <c r="E113" s="23">
        <v>4753362</v>
      </c>
      <c r="F113" s="23"/>
      <c r="G113" s="23">
        <v>109396</v>
      </c>
      <c r="H113" s="23"/>
      <c r="I113" s="23">
        <v>0</v>
      </c>
      <c r="J113" s="23"/>
      <c r="K113" s="23">
        <v>0</v>
      </c>
      <c r="L113" s="23"/>
      <c r="M113" s="23">
        <f>+E113-G113-I113-K113</f>
        <v>4643966</v>
      </c>
      <c r="N113" s="23"/>
      <c r="O113" s="23">
        <v>1711324</v>
      </c>
      <c r="P113" s="23"/>
      <c r="Q113" s="23">
        <f>2216778+444557</f>
        <v>2661335</v>
      </c>
      <c r="R113" s="23"/>
      <c r="S113" s="23">
        <v>2055</v>
      </c>
      <c r="T113" s="23"/>
      <c r="U113" s="23">
        <v>76975</v>
      </c>
      <c r="V113" s="23"/>
      <c r="W113" s="23">
        <f>28437</f>
        <v>28437</v>
      </c>
      <c r="X113" s="23"/>
      <c r="Y113" s="23">
        <v>0</v>
      </c>
      <c r="Z113" s="23"/>
      <c r="AA113" s="23">
        <v>0</v>
      </c>
      <c r="AB113" s="23"/>
      <c r="AC113" s="23">
        <v>0</v>
      </c>
      <c r="AD113" s="23"/>
      <c r="AE113" s="23">
        <f>SUM(O113:AC113)</f>
        <v>4480126</v>
      </c>
      <c r="AF113" s="23"/>
      <c r="AG113" s="23">
        <f>+M113-AE113</f>
        <v>163840</v>
      </c>
      <c r="AH113" s="23"/>
      <c r="AI113" s="23">
        <v>2293819</v>
      </c>
      <c r="AJ113" s="23"/>
      <c r="AK113" s="23">
        <f>+AI113-AG113</f>
        <v>2129979</v>
      </c>
    </row>
    <row r="114" spans="1:37" s="4" customFormat="1" ht="12">
      <c r="A114" s="4" t="s">
        <v>398</v>
      </c>
      <c r="C114" s="4" t="s">
        <v>69</v>
      </c>
      <c r="E114" s="4">
        <v>800986</v>
      </c>
      <c r="G114" s="4">
        <v>27821</v>
      </c>
      <c r="I114" s="4">
        <v>0</v>
      </c>
      <c r="K114" s="4">
        <v>0</v>
      </c>
      <c r="M114" s="23">
        <f>+E114-G114-I114-K114</f>
        <v>773165</v>
      </c>
      <c r="O114" s="4">
        <v>0</v>
      </c>
      <c r="Q114" s="4">
        <v>695616</v>
      </c>
      <c r="S114" s="4">
        <v>0</v>
      </c>
      <c r="U114" s="4">
        <v>30305</v>
      </c>
      <c r="W114" s="4">
        <v>4819</v>
      </c>
      <c r="Y114" s="4">
        <v>0</v>
      </c>
      <c r="AA114" s="4">
        <v>0</v>
      </c>
      <c r="AC114" s="4">
        <v>0</v>
      </c>
      <c r="AE114" s="23">
        <f>SUM(O114:AC114)</f>
        <v>730740</v>
      </c>
      <c r="AG114" s="23">
        <f>+M114-AE114</f>
        <v>42425</v>
      </c>
      <c r="AI114" s="4">
        <v>918188</v>
      </c>
      <c r="AK114" s="23">
        <f>+AI114-AG114</f>
        <v>875763</v>
      </c>
    </row>
    <row r="115" spans="1:37" s="4" customFormat="1" ht="12">
      <c r="A115" s="12" t="s">
        <v>279</v>
      </c>
      <c r="B115" s="12"/>
      <c r="C115" s="12" t="s">
        <v>92</v>
      </c>
      <c r="D115" s="15"/>
      <c r="E115" s="23">
        <v>9849701</v>
      </c>
      <c r="F115" s="23"/>
      <c r="G115" s="23">
        <v>1101263</v>
      </c>
      <c r="H115" s="23"/>
      <c r="I115" s="23">
        <v>0</v>
      </c>
      <c r="J115" s="23"/>
      <c r="K115" s="23">
        <v>0</v>
      </c>
      <c r="L115" s="23"/>
      <c r="M115" s="23">
        <f>+E115-G115-I115-K115</f>
        <v>8748438</v>
      </c>
      <c r="N115" s="23"/>
      <c r="O115" s="23">
        <v>6286953</v>
      </c>
      <c r="P115" s="23"/>
      <c r="Q115" s="23">
        <v>3405030</v>
      </c>
      <c r="R115" s="23"/>
      <c r="S115" s="23">
        <v>3661</v>
      </c>
      <c r="T115" s="23"/>
      <c r="U115" s="23">
        <v>276844</v>
      </c>
      <c r="V115" s="23"/>
      <c r="W115" s="23">
        <v>18338</v>
      </c>
      <c r="X115" s="23"/>
      <c r="Y115" s="23">
        <v>0</v>
      </c>
      <c r="Z115" s="23"/>
      <c r="AA115" s="23">
        <v>0</v>
      </c>
      <c r="AB115" s="23"/>
      <c r="AC115" s="23">
        <v>0</v>
      </c>
      <c r="AD115" s="23"/>
      <c r="AE115" s="23">
        <f>SUM(O115:AC115)</f>
        <v>9990826</v>
      </c>
      <c r="AF115" s="23"/>
      <c r="AG115" s="23">
        <f>+M115-AE115</f>
        <v>-1242388</v>
      </c>
      <c r="AH115" s="23"/>
      <c r="AI115" s="23">
        <v>19163686</v>
      </c>
      <c r="AJ115" s="23"/>
      <c r="AK115" s="23">
        <f>+AI115-AG115</f>
        <v>20406074</v>
      </c>
    </row>
    <row r="116" spans="1:37" s="4" customFormat="1" ht="12">
      <c r="A116" s="15" t="s">
        <v>280</v>
      </c>
      <c r="B116" s="15"/>
      <c r="C116" s="15" t="s">
        <v>55</v>
      </c>
      <c r="D116" s="15"/>
      <c r="E116" s="23">
        <v>1742165</v>
      </c>
      <c r="F116" s="23"/>
      <c r="G116" s="23">
        <v>36271</v>
      </c>
      <c r="H116" s="23"/>
      <c r="I116" s="23">
        <v>2050</v>
      </c>
      <c r="J116" s="23"/>
      <c r="K116" s="23">
        <v>1140</v>
      </c>
      <c r="L116" s="23"/>
      <c r="M116" s="23">
        <f>+E116-G116-I116-K116</f>
        <v>1702704</v>
      </c>
      <c r="N116" s="23"/>
      <c r="O116" s="23">
        <v>253794</v>
      </c>
      <c r="P116" s="23"/>
      <c r="Q116" s="23">
        <v>1486547</v>
      </c>
      <c r="R116" s="23"/>
      <c r="S116" s="23">
        <v>0</v>
      </c>
      <c r="T116" s="23"/>
      <c r="U116" s="23">
        <v>34449</v>
      </c>
      <c r="V116" s="23"/>
      <c r="W116" s="23">
        <v>10555</v>
      </c>
      <c r="X116" s="23"/>
      <c r="Y116" s="23">
        <v>0</v>
      </c>
      <c r="Z116" s="23"/>
      <c r="AA116" s="23">
        <v>0</v>
      </c>
      <c r="AB116" s="23"/>
      <c r="AC116" s="23">
        <v>0</v>
      </c>
      <c r="AD116" s="23"/>
      <c r="AE116" s="23">
        <f>SUM(O116:AC116)</f>
        <v>1785345</v>
      </c>
      <c r="AF116" s="23"/>
      <c r="AG116" s="23">
        <f>+M116-AE116</f>
        <v>-82641</v>
      </c>
      <c r="AH116" s="23"/>
      <c r="AI116" s="23">
        <v>1277777</v>
      </c>
      <c r="AJ116" s="23"/>
      <c r="AK116" s="23">
        <f>+AI116-AG116</f>
        <v>1360418</v>
      </c>
    </row>
    <row r="117" spans="1:37" ht="12" customHeight="1">
      <c r="A117" s="3"/>
      <c r="B117" s="12"/>
      <c r="C117" s="3"/>
      <c r="D117" s="15"/>
      <c r="E117" s="17"/>
      <c r="F117" s="23"/>
      <c r="G117" s="17"/>
      <c r="H117" s="23"/>
      <c r="I117" s="17"/>
      <c r="J117" s="23"/>
      <c r="K117" s="17"/>
      <c r="L117" s="23"/>
      <c r="M117" s="23"/>
      <c r="N117" s="23"/>
      <c r="O117" s="17"/>
      <c r="P117" s="23"/>
      <c r="Q117" s="23"/>
      <c r="R117" s="23"/>
      <c r="S117" s="17"/>
      <c r="T117" s="23"/>
      <c r="U117" s="17"/>
      <c r="V117" s="23"/>
      <c r="W117" s="17"/>
      <c r="X117" s="23"/>
      <c r="Y117" s="17"/>
      <c r="Z117" s="23"/>
      <c r="AA117" s="17"/>
      <c r="AB117" s="23"/>
      <c r="AC117" s="17"/>
      <c r="AD117" s="23"/>
      <c r="AE117" s="23"/>
      <c r="AF117" s="23"/>
      <c r="AG117" s="23"/>
      <c r="AH117" s="23"/>
      <c r="AI117" s="17"/>
      <c r="AJ117" s="23"/>
      <c r="AK117" s="23"/>
    </row>
    <row r="118" spans="1:37" s="4" customFormat="1" ht="12">
      <c r="A118" s="3"/>
      <c r="B118" s="12"/>
      <c r="C118" s="3"/>
      <c r="D118" s="15"/>
      <c r="E118" s="17"/>
      <c r="F118" s="23"/>
      <c r="G118" s="17"/>
      <c r="H118" s="23"/>
      <c r="I118" s="17"/>
      <c r="J118" s="23"/>
      <c r="K118" s="17"/>
      <c r="L118" s="23"/>
      <c r="M118" s="23"/>
      <c r="N118" s="23"/>
      <c r="O118" s="17"/>
      <c r="P118" s="23"/>
      <c r="Q118" s="23"/>
      <c r="R118" s="23"/>
      <c r="S118" s="17"/>
      <c r="T118" s="23"/>
      <c r="U118" s="17"/>
      <c r="V118" s="23"/>
      <c r="W118" s="17"/>
      <c r="X118" s="23"/>
      <c r="Y118" s="17"/>
      <c r="Z118" s="23"/>
      <c r="AA118" s="17"/>
      <c r="AB118" s="23"/>
      <c r="AC118" s="17"/>
      <c r="AD118" s="23"/>
      <c r="AE118" s="23"/>
      <c r="AF118" s="23"/>
      <c r="AG118" s="23"/>
      <c r="AH118" s="23"/>
      <c r="AI118" s="17"/>
      <c r="AJ118" s="23"/>
      <c r="AK118" s="23"/>
    </row>
    <row r="119" spans="1:37" s="4" customFormat="1" ht="12">
      <c r="A119" s="3"/>
      <c r="B119" s="12"/>
      <c r="C119" s="3"/>
      <c r="D119" s="15"/>
      <c r="E119" s="17"/>
      <c r="F119" s="23"/>
      <c r="G119" s="17"/>
      <c r="H119" s="23"/>
      <c r="I119" s="17"/>
      <c r="J119" s="23"/>
      <c r="K119" s="17"/>
      <c r="L119" s="23"/>
      <c r="M119" s="23"/>
      <c r="N119" s="23"/>
      <c r="O119" s="17"/>
      <c r="P119" s="23"/>
      <c r="Q119" s="23"/>
      <c r="R119" s="23"/>
      <c r="S119" s="17"/>
      <c r="T119" s="23"/>
      <c r="U119" s="17"/>
      <c r="V119" s="23"/>
      <c r="W119" s="17"/>
      <c r="X119" s="23"/>
      <c r="Y119" s="17"/>
      <c r="Z119" s="23"/>
      <c r="AA119" s="17"/>
      <c r="AB119" s="23"/>
      <c r="AC119" s="17"/>
      <c r="AD119" s="23"/>
      <c r="AE119" s="23"/>
      <c r="AF119" s="23"/>
      <c r="AG119" s="23"/>
      <c r="AH119" s="23"/>
      <c r="AI119" s="17"/>
      <c r="AJ119" s="23"/>
      <c r="AK119" s="23"/>
    </row>
    <row r="120" spans="1:37" s="4" customFormat="1" ht="12">
      <c r="M120" s="23">
        <f t="shared" ref="M120" si="0">+E120-G120-I120-K220:K220</f>
        <v>0</v>
      </c>
      <c r="AE120" s="23">
        <f t="shared" ref="AE120" si="1">SUM(O120:AC120)</f>
        <v>0</v>
      </c>
      <c r="AG120" s="23">
        <f t="shared" ref="AG120" si="2">+M120-AE120</f>
        <v>0</v>
      </c>
      <c r="AK120" s="23">
        <f t="shared" ref="AK120" si="3">+AI120-AG120</f>
        <v>0</v>
      </c>
    </row>
    <row r="121" spans="1:37" s="68" customFormat="1"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23"/>
      <c r="AF121" s="69"/>
      <c r="AG121" s="69"/>
      <c r="AH121" s="69"/>
      <c r="AI121" s="69"/>
      <c r="AJ121" s="69"/>
      <c r="AK121" s="69"/>
    </row>
    <row r="123" spans="1:37">
      <c r="K123" s="60">
        <f>+E101-G101-I101-K101</f>
        <v>14277029</v>
      </c>
    </row>
  </sheetData>
  <sortState ref="A14:AK103">
    <sortCondition ref="A14:A103"/>
  </sortState>
  <mergeCells count="6">
    <mergeCell ref="A89:E89"/>
    <mergeCell ref="G95:K95"/>
    <mergeCell ref="O95:W95"/>
    <mergeCell ref="A1:E1"/>
    <mergeCell ref="G7:K7"/>
    <mergeCell ref="O7:W7"/>
  </mergeCells>
  <phoneticPr fontId="2" type="noConversion"/>
  <printOptions horizontalCentered="1"/>
  <pageMargins left="0.75" right="0.75" top="0.5" bottom="0.5" header="0" footer="0.3"/>
  <pageSetup scale="70" firstPageNumber="4" fitToWidth="0" fitToHeight="0" pageOrder="overThenDown" orientation="portrait" useFirstPageNumber="1" r:id="rId1"/>
  <headerFooter scaleWithDoc="0" alignWithMargins="0">
    <oddFooter>&amp;C&amp;"Times New Roman,Regular"&amp;11&amp;P</oddFooter>
  </headerFooter>
  <rowBreaks count="1" manualBreakCount="1">
    <brk id="88" max="36" man="1"/>
  </rowBreaks>
  <colBreaks count="1" manualBreakCount="1">
    <brk id="16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5"/>
  <sheetViews>
    <sheetView tabSelected="1" view="pageBreakPreview" topLeftCell="G1" zoomScale="90" zoomScaleNormal="100" zoomScaleSheetLayoutView="90" workbookViewId="0">
      <selection activeCell="J6" sqref="J6:J7"/>
    </sheetView>
  </sheetViews>
  <sheetFormatPr defaultColWidth="9.140625" defaultRowHeight="12"/>
  <cols>
    <col min="1" max="1" width="11.85546875" style="3" hidden="1" customWidth="1"/>
    <col min="2" max="2" width="39.7109375" style="3" bestFit="1" customWidth="1"/>
    <col min="3" max="3" width="1.28515625" style="3" customWidth="1"/>
    <col min="4" max="4" width="10.28515625" style="3" customWidth="1"/>
    <col min="5" max="5" width="1.28515625" style="3" customWidth="1"/>
    <col min="6" max="6" width="11.7109375" style="3" customWidth="1"/>
    <col min="7" max="7" width="1.28515625" style="3" customWidth="1"/>
    <col min="8" max="8" width="11.7109375" style="3" customWidth="1"/>
    <col min="9" max="9" width="1.28515625" style="3" customWidth="1"/>
    <col min="10" max="10" width="10.28515625" style="3" customWidth="1"/>
    <col min="11" max="11" width="1.28515625" style="3" customWidth="1"/>
    <col min="12" max="12" width="11.7109375" style="3" customWidth="1"/>
    <col min="13" max="13" width="1.28515625" style="3" customWidth="1"/>
    <col min="14" max="14" width="10.140625" style="3" customWidth="1"/>
    <col min="15" max="15" width="1.28515625" style="3" hidden="1" customWidth="1"/>
    <col min="16" max="16" width="10" style="3" customWidth="1"/>
    <col min="17" max="17" width="1.28515625" style="3" customWidth="1"/>
    <col min="18" max="18" width="11.1406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140625" style="3" customWidth="1"/>
    <col min="23" max="23" width="1.28515625" style="3" customWidth="1"/>
    <col min="24" max="24" width="9.85546875" style="3" customWidth="1"/>
    <col min="25" max="25" width="1.28515625" style="3" customWidth="1"/>
    <col min="26" max="26" width="9.85546875" style="3" customWidth="1"/>
    <col min="27" max="27" width="1.28515625" style="3" customWidth="1"/>
    <col min="28" max="28" width="10" style="3" customWidth="1"/>
    <col min="29" max="29" width="1.28515625" style="3" customWidth="1"/>
    <col min="30" max="30" width="9.85546875" style="3" customWidth="1"/>
    <col min="31" max="31" width="1.28515625" style="3" customWidth="1"/>
    <col min="32" max="32" width="9.85546875" style="3" customWidth="1"/>
    <col min="33" max="33" width="1.28515625" style="3" customWidth="1"/>
    <col min="34" max="34" width="10.5703125" style="3" customWidth="1"/>
    <col min="35" max="16384" width="9.140625" style="3"/>
  </cols>
  <sheetData>
    <row r="1" spans="1:65">
      <c r="B1" s="3" t="s">
        <v>523</v>
      </c>
    </row>
    <row r="2" spans="1:65">
      <c r="B2" s="3" t="s">
        <v>527</v>
      </c>
    </row>
    <row r="3" spans="1:65" hidden="1">
      <c r="B3" s="41" t="s">
        <v>7</v>
      </c>
    </row>
    <row r="4" spans="1:65" s="36" customFormat="1">
      <c r="H4" s="36" t="s">
        <v>282</v>
      </c>
    </row>
    <row r="5" spans="1:65" s="36" customFormat="1">
      <c r="F5" s="36" t="s">
        <v>31</v>
      </c>
      <c r="H5" s="36" t="s">
        <v>283</v>
      </c>
      <c r="P5" s="36" t="s">
        <v>29</v>
      </c>
      <c r="R5" s="36" t="s">
        <v>289</v>
      </c>
      <c r="X5" s="36" t="s">
        <v>294</v>
      </c>
      <c r="AD5" s="36" t="s">
        <v>0</v>
      </c>
    </row>
    <row r="6" spans="1:65" s="36" customFormat="1" ht="12" customHeight="1">
      <c r="F6" s="36" t="s">
        <v>0</v>
      </c>
      <c r="H6" s="36" t="s">
        <v>284</v>
      </c>
      <c r="J6" s="36" t="s">
        <v>348</v>
      </c>
      <c r="L6" s="36" t="s">
        <v>286</v>
      </c>
      <c r="P6" s="36" t="s">
        <v>288</v>
      </c>
      <c r="R6" s="36" t="s">
        <v>290</v>
      </c>
      <c r="T6" s="36" t="s">
        <v>292</v>
      </c>
      <c r="X6" s="36" t="s">
        <v>295</v>
      </c>
      <c r="AD6" s="36" t="s">
        <v>296</v>
      </c>
      <c r="AF6" s="36" t="s">
        <v>564</v>
      </c>
    </row>
    <row r="7" spans="1:65" s="36" customFormat="1" ht="12" customHeight="1">
      <c r="A7" s="36" t="s">
        <v>580</v>
      </c>
      <c r="B7" s="37" t="s">
        <v>5</v>
      </c>
      <c r="D7" s="37" t="s">
        <v>6</v>
      </c>
      <c r="F7" s="37" t="s">
        <v>281</v>
      </c>
      <c r="H7" s="37" t="s">
        <v>285</v>
      </c>
      <c r="J7" s="37" t="s">
        <v>349</v>
      </c>
      <c r="L7" s="37" t="s">
        <v>287</v>
      </c>
      <c r="N7" s="37" t="s">
        <v>560</v>
      </c>
      <c r="P7" s="37" t="s">
        <v>562</v>
      </c>
      <c r="R7" s="37" t="s">
        <v>291</v>
      </c>
      <c r="T7" s="37" t="s">
        <v>293</v>
      </c>
      <c r="V7" s="37" t="s">
        <v>1</v>
      </c>
      <c r="X7" s="37" t="s">
        <v>32</v>
      </c>
      <c r="Z7" s="37" t="s">
        <v>509</v>
      </c>
      <c r="AB7" s="37" t="s">
        <v>510</v>
      </c>
      <c r="AD7" s="37" t="s">
        <v>297</v>
      </c>
      <c r="AF7" s="37" t="s">
        <v>424</v>
      </c>
      <c r="AH7" s="49" t="s">
        <v>28</v>
      </c>
    </row>
    <row r="8" spans="1:65" s="4" customFormat="1" hidden="1">
      <c r="A8" s="4">
        <v>2</v>
      </c>
      <c r="B8" s="4" t="s">
        <v>435</v>
      </c>
      <c r="D8" s="4" t="s">
        <v>97</v>
      </c>
      <c r="F8" s="35"/>
      <c r="H8" s="35"/>
      <c r="J8" s="35"/>
      <c r="L8" s="35"/>
      <c r="N8" s="35"/>
      <c r="P8" s="35"/>
      <c r="R8" s="35"/>
      <c r="T8" s="35"/>
      <c r="V8" s="35"/>
      <c r="X8" s="35"/>
      <c r="Z8" s="35"/>
      <c r="AB8" s="35"/>
      <c r="AD8" s="35"/>
      <c r="AF8" s="35"/>
      <c r="AH8" s="4">
        <f>SUM(F8:AD8)</f>
        <v>0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s="4" customFormat="1" hidden="1">
      <c r="A9" s="4">
        <v>75</v>
      </c>
      <c r="B9" s="4" t="s">
        <v>436</v>
      </c>
      <c r="D9" s="4" t="s">
        <v>92</v>
      </c>
      <c r="AH9" s="4">
        <f>SUM(F9:AD9)</f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4" customFormat="1" hidden="1">
      <c r="A10" s="4">
        <v>80</v>
      </c>
      <c r="B10" s="4" t="s">
        <v>267</v>
      </c>
      <c r="D10" s="4" t="s">
        <v>92</v>
      </c>
      <c r="AH10" s="4">
        <f>SUM(F10:AD10)</f>
        <v>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s="7" customFormat="1" hidden="1">
      <c r="A11" s="4">
        <v>117</v>
      </c>
      <c r="B11" s="4" t="s">
        <v>311</v>
      </c>
      <c r="C11" s="4"/>
      <c r="D11" s="4" t="s">
        <v>170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>SUM(F11:AD11)</f>
        <v>0</v>
      </c>
    </row>
    <row r="12" spans="1:65" s="4" customFormat="1" hidden="1">
      <c r="A12" s="4">
        <v>135</v>
      </c>
      <c r="B12" s="4" t="s">
        <v>442</v>
      </c>
      <c r="D12" s="4" t="s">
        <v>41</v>
      </c>
      <c r="AH12" s="4">
        <f>SUM(F12:AD12)</f>
        <v>0</v>
      </c>
    </row>
    <row r="13" spans="1:65" s="4" customFormat="1" hidden="1">
      <c r="A13" s="4">
        <v>152</v>
      </c>
      <c r="B13" s="4" t="s">
        <v>214</v>
      </c>
      <c r="D13" s="4" t="s">
        <v>215</v>
      </c>
      <c r="AH13" s="4">
        <f>SUM(F13:AD13)</f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s="28" customFormat="1" hidden="1">
      <c r="A14" s="4">
        <v>180</v>
      </c>
      <c r="B14" s="4" t="s">
        <v>253</v>
      </c>
      <c r="C14" s="4"/>
      <c r="D14" s="4" t="s">
        <v>106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SUM(F14:AD14)</f>
        <v>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s="4" customFormat="1" hidden="1">
      <c r="A15" s="4">
        <v>185</v>
      </c>
      <c r="B15" s="4" t="s">
        <v>230</v>
      </c>
      <c r="D15" s="4" t="s">
        <v>229</v>
      </c>
      <c r="AH15" s="4">
        <f>SUM(F15:AD15)</f>
        <v>0</v>
      </c>
    </row>
    <row r="16" spans="1:65" s="28" customFormat="1" hidden="1">
      <c r="A16" s="4">
        <v>189</v>
      </c>
      <c r="B16" s="4" t="s">
        <v>450</v>
      </c>
      <c r="C16" s="4"/>
      <c r="D16" s="4" t="s">
        <v>236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>SUM(F16:AD16)</f>
        <v>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4" customFormat="1" hidden="1">
      <c r="A17" s="4">
        <v>233</v>
      </c>
      <c r="B17" s="4" t="s">
        <v>35</v>
      </c>
      <c r="D17" s="4" t="s">
        <v>26</v>
      </c>
      <c r="AH17" s="4">
        <f>SUM(F17:AD17)</f>
        <v>0</v>
      </c>
    </row>
    <row r="18" spans="1:65" s="4" customFormat="1" hidden="1">
      <c r="A18" s="4">
        <v>234</v>
      </c>
      <c r="B18" s="4" t="s">
        <v>201</v>
      </c>
      <c r="D18" s="4" t="s">
        <v>26</v>
      </c>
      <c r="AH18" s="4">
        <f>SUM(F18:AD18)</f>
        <v>0</v>
      </c>
    </row>
    <row r="19" spans="1:65" s="4" customFormat="1">
      <c r="A19" s="4">
        <v>251</v>
      </c>
      <c r="B19" s="38" t="s">
        <v>73</v>
      </c>
      <c r="C19" s="38"/>
      <c r="D19" s="38" t="s">
        <v>579</v>
      </c>
      <c r="E19" s="38"/>
      <c r="F19" s="38">
        <v>0</v>
      </c>
      <c r="G19" s="38"/>
      <c r="H19" s="38">
        <v>287904</v>
      </c>
      <c r="I19" s="38"/>
      <c r="J19" s="38">
        <v>0</v>
      </c>
      <c r="K19" s="38"/>
      <c r="L19" s="38">
        <v>6735</v>
      </c>
      <c r="M19" s="38"/>
      <c r="N19" s="38">
        <v>0</v>
      </c>
      <c r="O19" s="38"/>
      <c r="P19" s="38">
        <v>0</v>
      </c>
      <c r="Q19" s="38"/>
      <c r="R19" s="38">
        <v>3653</v>
      </c>
      <c r="S19" s="38"/>
      <c r="T19" s="38">
        <v>3587</v>
      </c>
      <c r="U19" s="38"/>
      <c r="V19" s="38">
        <v>37</v>
      </c>
      <c r="W19" s="38"/>
      <c r="X19" s="38">
        <v>105</v>
      </c>
      <c r="Y19" s="38"/>
      <c r="Z19" s="38">
        <v>0</v>
      </c>
      <c r="AA19" s="38"/>
      <c r="AB19" s="38">
        <v>0</v>
      </c>
      <c r="AC19" s="38"/>
      <c r="AD19" s="38">
        <v>0</v>
      </c>
      <c r="AE19" s="38"/>
      <c r="AF19" s="38">
        <v>0</v>
      </c>
      <c r="AG19" s="38"/>
      <c r="AH19" s="7">
        <f>SUM(F19:AF19)</f>
        <v>302021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s="4" customFormat="1">
      <c r="A20" s="4">
        <v>195</v>
      </c>
      <c r="B20" s="35" t="s">
        <v>74</v>
      </c>
      <c r="C20" s="35"/>
      <c r="D20" s="35" t="s">
        <v>40</v>
      </c>
      <c r="E20" s="35"/>
      <c r="F20" s="35">
        <v>0</v>
      </c>
      <c r="G20" s="35"/>
      <c r="H20" s="35">
        <v>981366</v>
      </c>
      <c r="I20" s="35"/>
      <c r="J20" s="35">
        <v>0</v>
      </c>
      <c r="K20" s="35"/>
      <c r="L20" s="35">
        <v>36411</v>
      </c>
      <c r="M20" s="35"/>
      <c r="N20" s="35">
        <v>0</v>
      </c>
      <c r="O20" s="35"/>
      <c r="P20" s="35">
        <v>0</v>
      </c>
      <c r="Q20" s="35"/>
      <c r="R20" s="35">
        <v>815</v>
      </c>
      <c r="S20" s="35"/>
      <c r="T20" s="35">
        <v>52010</v>
      </c>
      <c r="U20" s="35"/>
      <c r="V20" s="35">
        <v>803</v>
      </c>
      <c r="W20" s="35"/>
      <c r="X20" s="35">
        <v>0</v>
      </c>
      <c r="Y20" s="35"/>
      <c r="Z20" s="35">
        <v>0</v>
      </c>
      <c r="AA20" s="35"/>
      <c r="AB20" s="35">
        <v>0</v>
      </c>
      <c r="AC20" s="35"/>
      <c r="AD20" s="35">
        <v>0</v>
      </c>
      <c r="AE20" s="35"/>
      <c r="AF20" s="35">
        <v>0</v>
      </c>
      <c r="AG20" s="35"/>
      <c r="AH20" s="4">
        <f>SUM(F20:AF20)</f>
        <v>1071405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s="4" customFormat="1">
      <c r="A21" s="4">
        <v>118</v>
      </c>
      <c r="B21" s="45" t="s">
        <v>434</v>
      </c>
      <c r="C21" s="45"/>
      <c r="D21" s="45" t="s">
        <v>22</v>
      </c>
      <c r="E21" s="45"/>
      <c r="F21" s="4">
        <v>9449973</v>
      </c>
      <c r="G21" s="15"/>
      <c r="H21" s="4">
        <v>14171624</v>
      </c>
      <c r="I21" s="15"/>
      <c r="J21" s="4">
        <f>16193339-14171624</f>
        <v>2021715</v>
      </c>
      <c r="K21" s="15"/>
      <c r="L21" s="4">
        <v>584274</v>
      </c>
      <c r="M21" s="15"/>
      <c r="N21" s="4">
        <v>0</v>
      </c>
      <c r="O21" s="15"/>
      <c r="P21" s="4">
        <v>0</v>
      </c>
      <c r="Q21" s="15"/>
      <c r="R21" s="4">
        <v>20042</v>
      </c>
      <c r="S21" s="15"/>
      <c r="T21" s="4">
        <v>264866</v>
      </c>
      <c r="U21" s="15"/>
      <c r="V21" s="4">
        <v>278624</v>
      </c>
      <c r="W21" s="15"/>
      <c r="X21" s="4">
        <v>0</v>
      </c>
      <c r="Y21" s="15"/>
      <c r="Z21" s="4">
        <v>0</v>
      </c>
      <c r="AA21" s="15"/>
      <c r="AB21" s="4">
        <v>0</v>
      </c>
      <c r="AC21" s="15"/>
      <c r="AD21" s="4">
        <v>0</v>
      </c>
      <c r="AE21" s="15"/>
      <c r="AF21" s="4">
        <v>0</v>
      </c>
      <c r="AG21" s="15"/>
      <c r="AH21" s="4">
        <f>SUM(E21:AD21)</f>
        <v>26791118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s="4" customFormat="1">
      <c r="A22" s="4">
        <v>98</v>
      </c>
      <c r="B22" s="4" t="s">
        <v>71</v>
      </c>
      <c r="D22" s="35" t="s">
        <v>41</v>
      </c>
      <c r="F22" s="35">
        <v>0</v>
      </c>
      <c r="H22" s="35">
        <v>308742</v>
      </c>
      <c r="J22" s="35">
        <v>4484</v>
      </c>
      <c r="L22" s="35">
        <v>6289</v>
      </c>
      <c r="N22" s="35">
        <v>0</v>
      </c>
      <c r="P22" s="35">
        <v>0</v>
      </c>
      <c r="R22" s="35">
        <v>777</v>
      </c>
      <c r="T22" s="35">
        <v>15924</v>
      </c>
      <c r="V22" s="35">
        <v>218</v>
      </c>
      <c r="X22" s="35">
        <v>374</v>
      </c>
      <c r="Z22" s="35">
        <v>0</v>
      </c>
      <c r="AB22" s="35">
        <v>0</v>
      </c>
      <c r="AD22" s="35">
        <v>0</v>
      </c>
      <c r="AF22" s="35">
        <v>0</v>
      </c>
      <c r="AH22" s="4">
        <f>SUM(F22:AF22)</f>
        <v>336808</v>
      </c>
    </row>
    <row r="23" spans="1:65" s="4" customFormat="1">
      <c r="A23" s="4">
        <v>138</v>
      </c>
      <c r="B23" s="35" t="s">
        <v>75</v>
      </c>
      <c r="C23" s="35"/>
      <c r="D23" s="35" t="s">
        <v>61</v>
      </c>
      <c r="E23" s="35"/>
      <c r="F23" s="35">
        <v>0</v>
      </c>
      <c r="G23" s="35"/>
      <c r="H23" s="35">
        <v>63268</v>
      </c>
      <c r="I23" s="35"/>
      <c r="J23" s="35">
        <v>0</v>
      </c>
      <c r="K23" s="35"/>
      <c r="L23" s="35">
        <v>1705</v>
      </c>
      <c r="M23" s="35"/>
      <c r="N23" s="35">
        <v>0</v>
      </c>
      <c r="O23" s="35"/>
      <c r="P23" s="35">
        <v>0</v>
      </c>
      <c r="Q23" s="35"/>
      <c r="R23" s="35">
        <v>946</v>
      </c>
      <c r="S23" s="35"/>
      <c r="T23" s="35">
        <v>32519</v>
      </c>
      <c r="U23" s="35"/>
      <c r="V23" s="35">
        <v>10111</v>
      </c>
      <c r="W23" s="35"/>
      <c r="X23" s="35">
        <v>0</v>
      </c>
      <c r="Y23" s="35"/>
      <c r="Z23" s="35">
        <v>0</v>
      </c>
      <c r="AA23" s="35"/>
      <c r="AB23" s="35">
        <v>0</v>
      </c>
      <c r="AC23" s="35"/>
      <c r="AD23" s="35">
        <v>0</v>
      </c>
      <c r="AE23" s="35"/>
      <c r="AF23" s="35">
        <v>0</v>
      </c>
      <c r="AG23" s="35"/>
      <c r="AH23" s="4">
        <f>SUM(F23:AF23)</f>
        <v>108549</v>
      </c>
    </row>
    <row r="24" spans="1:65">
      <c r="A24" s="4">
        <v>137</v>
      </c>
      <c r="B24" s="35" t="s">
        <v>451</v>
      </c>
      <c r="C24" s="35"/>
      <c r="D24" s="35" t="s">
        <v>57</v>
      </c>
      <c r="E24" s="35"/>
      <c r="F24" s="35">
        <v>295377</v>
      </c>
      <c r="G24" s="35"/>
      <c r="H24" s="35">
        <v>853129</v>
      </c>
      <c r="I24" s="35"/>
      <c r="J24" s="35">
        <v>45704</v>
      </c>
      <c r="K24" s="35"/>
      <c r="L24" s="35">
        <v>33571</v>
      </c>
      <c r="M24" s="35"/>
      <c r="N24" s="35">
        <v>0</v>
      </c>
      <c r="O24" s="35"/>
      <c r="P24" s="35">
        <v>0</v>
      </c>
      <c r="Q24" s="35"/>
      <c r="R24" s="35">
        <v>350</v>
      </c>
      <c r="S24" s="35"/>
      <c r="T24" s="35">
        <v>6753</v>
      </c>
      <c r="U24" s="35"/>
      <c r="V24" s="35">
        <v>3355</v>
      </c>
      <c r="W24" s="35"/>
      <c r="X24" s="35">
        <v>0</v>
      </c>
      <c r="Y24" s="35"/>
      <c r="Z24" s="35">
        <v>0</v>
      </c>
      <c r="AA24" s="35"/>
      <c r="AB24" s="35">
        <v>0</v>
      </c>
      <c r="AC24" s="35"/>
      <c r="AD24" s="35">
        <v>0</v>
      </c>
      <c r="AE24" s="35"/>
      <c r="AF24" s="35">
        <v>0</v>
      </c>
      <c r="AG24" s="35"/>
      <c r="AH24" s="4">
        <f>SUM(F24:AF24)</f>
        <v>1238239</v>
      </c>
    </row>
    <row r="25" spans="1:65" s="4" customFormat="1">
      <c r="A25" s="4">
        <v>96</v>
      </c>
      <c r="B25" s="4" t="s">
        <v>77</v>
      </c>
      <c r="D25" s="4" t="s">
        <v>78</v>
      </c>
      <c r="F25" s="35">
        <v>0</v>
      </c>
      <c r="H25" s="4">
        <v>1752499</v>
      </c>
      <c r="J25" s="35">
        <v>0</v>
      </c>
      <c r="L25" s="4">
        <v>37106</v>
      </c>
      <c r="N25" s="35">
        <v>0</v>
      </c>
      <c r="P25" s="35">
        <v>0</v>
      </c>
      <c r="R25" s="4">
        <v>11707</v>
      </c>
      <c r="T25" s="4">
        <v>133095</v>
      </c>
      <c r="V25" s="4">
        <v>14436</v>
      </c>
      <c r="X25" s="35">
        <v>0</v>
      </c>
      <c r="Z25" s="4">
        <v>46166</v>
      </c>
      <c r="AB25" s="35">
        <v>0</v>
      </c>
      <c r="AD25" s="35">
        <v>0</v>
      </c>
      <c r="AF25" s="35">
        <v>0</v>
      </c>
      <c r="AH25" s="4">
        <f>SUM(F25:AD25)</f>
        <v>1995009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s="4" customFormat="1">
      <c r="A26" s="4">
        <v>97</v>
      </c>
      <c r="B26" s="4" t="s">
        <v>79</v>
      </c>
      <c r="D26" s="4" t="s">
        <v>43</v>
      </c>
      <c r="F26" s="4">
        <v>268637</v>
      </c>
      <c r="H26" s="35">
        <v>0</v>
      </c>
      <c r="J26" s="35">
        <v>0</v>
      </c>
      <c r="L26" s="4">
        <v>10628</v>
      </c>
      <c r="N26" s="35">
        <v>0</v>
      </c>
      <c r="P26" s="35">
        <v>0</v>
      </c>
      <c r="R26" s="4">
        <v>17366</v>
      </c>
      <c r="T26" s="4">
        <v>2738</v>
      </c>
      <c r="V26" s="4">
        <v>94318</v>
      </c>
      <c r="X26" s="35">
        <v>0</v>
      </c>
      <c r="Z26" s="35">
        <v>0</v>
      </c>
      <c r="AB26" s="35">
        <v>0</v>
      </c>
      <c r="AD26" s="35">
        <v>0</v>
      </c>
      <c r="AF26" s="35">
        <v>0</v>
      </c>
      <c r="AH26" s="4">
        <f>SUM(F26:AD26)</f>
        <v>393687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s="4" customFormat="1">
      <c r="A27" s="4">
        <v>159</v>
      </c>
      <c r="B27" s="35" t="s">
        <v>80</v>
      </c>
      <c r="C27" s="35"/>
      <c r="D27" s="35" t="s">
        <v>81</v>
      </c>
      <c r="E27" s="35"/>
      <c r="F27" s="35">
        <v>0</v>
      </c>
      <c r="G27" s="35"/>
      <c r="H27" s="35">
        <v>299526</v>
      </c>
      <c r="I27" s="35"/>
      <c r="J27" s="35">
        <v>0</v>
      </c>
      <c r="K27" s="35"/>
      <c r="L27" s="35">
        <v>7731</v>
      </c>
      <c r="M27" s="35"/>
      <c r="N27" s="35">
        <v>0</v>
      </c>
      <c r="O27" s="35"/>
      <c r="P27" s="35">
        <v>0</v>
      </c>
      <c r="Q27" s="35"/>
      <c r="R27" s="35">
        <v>10235</v>
      </c>
      <c r="S27" s="35"/>
      <c r="T27" s="35">
        <v>7776</v>
      </c>
      <c r="U27" s="35"/>
      <c r="V27" s="35">
        <v>45</v>
      </c>
      <c r="W27" s="35"/>
      <c r="X27" s="35">
        <v>0</v>
      </c>
      <c r="Y27" s="35"/>
      <c r="Z27" s="35">
        <v>0</v>
      </c>
      <c r="AA27" s="35"/>
      <c r="AB27" s="35">
        <v>0</v>
      </c>
      <c r="AC27" s="35"/>
      <c r="AD27" s="35">
        <v>0</v>
      </c>
      <c r="AE27" s="35"/>
      <c r="AF27" s="35">
        <v>0</v>
      </c>
      <c r="AG27" s="35"/>
      <c r="AH27" s="4">
        <f>SUM(F27:AF27)</f>
        <v>325313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4" customFormat="1">
      <c r="A28" s="4">
        <v>186</v>
      </c>
      <c r="B28" s="4" t="s">
        <v>298</v>
      </c>
      <c r="D28" s="35" t="s">
        <v>42</v>
      </c>
      <c r="F28" s="35">
        <v>82365</v>
      </c>
      <c r="H28" s="35">
        <v>270828</v>
      </c>
      <c r="J28" s="35">
        <v>29025</v>
      </c>
      <c r="L28" s="35">
        <v>13564</v>
      </c>
      <c r="N28" s="35">
        <v>0</v>
      </c>
      <c r="P28" s="35">
        <v>0</v>
      </c>
      <c r="R28" s="35">
        <v>2041</v>
      </c>
      <c r="T28" s="35">
        <v>2131</v>
      </c>
      <c r="V28" s="35">
        <v>5851</v>
      </c>
      <c r="X28" s="35">
        <v>0</v>
      </c>
      <c r="Z28" s="35">
        <v>0</v>
      </c>
      <c r="AB28" s="35">
        <v>0</v>
      </c>
      <c r="AD28" s="35">
        <v>0</v>
      </c>
      <c r="AF28" s="35">
        <v>0</v>
      </c>
      <c r="AH28" s="4">
        <f>SUM(F28:AF28)</f>
        <v>405805</v>
      </c>
    </row>
    <row r="29" spans="1:65" s="4" customFormat="1">
      <c r="A29" s="4">
        <v>111</v>
      </c>
      <c r="B29" s="4" t="s">
        <v>82</v>
      </c>
      <c r="D29" s="4" t="s">
        <v>83</v>
      </c>
      <c r="F29" s="4">
        <v>2718</v>
      </c>
      <c r="H29" s="4">
        <v>1235195</v>
      </c>
      <c r="J29" s="4">
        <v>0</v>
      </c>
      <c r="L29" s="4">
        <v>54195</v>
      </c>
      <c r="N29" s="35">
        <v>0</v>
      </c>
      <c r="P29" s="4">
        <v>0</v>
      </c>
      <c r="R29" s="4">
        <v>1100</v>
      </c>
      <c r="T29" s="4">
        <v>64413</v>
      </c>
      <c r="V29" s="4">
        <v>5698</v>
      </c>
      <c r="X29" s="4">
        <v>0</v>
      </c>
      <c r="Z29" s="4">
        <v>0</v>
      </c>
      <c r="AB29" s="4">
        <v>0</v>
      </c>
      <c r="AD29" s="4">
        <v>0</v>
      </c>
      <c r="AF29" s="4">
        <v>0</v>
      </c>
      <c r="AH29" s="4">
        <f>SUM(F29:AD29)</f>
        <v>1363319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s="4" customFormat="1">
      <c r="A30" s="4">
        <v>100</v>
      </c>
      <c r="B30" s="35" t="s">
        <v>335</v>
      </c>
      <c r="C30" s="35"/>
      <c r="D30" s="35" t="s">
        <v>43</v>
      </c>
      <c r="E30" s="35"/>
      <c r="F30" s="35">
        <v>1550290</v>
      </c>
      <c r="G30" s="35"/>
      <c r="H30" s="35">
        <v>0</v>
      </c>
      <c r="I30" s="35"/>
      <c r="J30" s="35">
        <v>0</v>
      </c>
      <c r="K30" s="35"/>
      <c r="L30" s="35">
        <v>38918</v>
      </c>
      <c r="M30" s="35"/>
      <c r="N30" s="35">
        <v>0</v>
      </c>
      <c r="O30" s="35"/>
      <c r="P30" s="35">
        <v>0</v>
      </c>
      <c r="Q30" s="35"/>
      <c r="R30" s="35">
        <v>15922</v>
      </c>
      <c r="S30" s="35"/>
      <c r="T30" s="35">
        <v>3894</v>
      </c>
      <c r="U30" s="35"/>
      <c r="V30" s="35">
        <v>10244</v>
      </c>
      <c r="W30" s="35"/>
      <c r="X30" s="35">
        <v>0</v>
      </c>
      <c r="Y30" s="35"/>
      <c r="Z30" s="35">
        <v>0</v>
      </c>
      <c r="AA30" s="35"/>
      <c r="AB30" s="35">
        <v>0</v>
      </c>
      <c r="AC30" s="35"/>
      <c r="AD30" s="35">
        <v>0</v>
      </c>
      <c r="AE30" s="35"/>
      <c r="AF30" s="35">
        <v>0</v>
      </c>
      <c r="AG30" s="35"/>
      <c r="AH30" s="4">
        <f>SUM(F30:AF30)</f>
        <v>1619268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4" customFormat="1">
      <c r="A31" s="4">
        <v>194</v>
      </c>
      <c r="B31" s="35" t="s">
        <v>595</v>
      </c>
      <c r="C31" s="35"/>
      <c r="D31" s="35" t="s">
        <v>44</v>
      </c>
      <c r="E31" s="35"/>
      <c r="F31" s="35">
        <v>0</v>
      </c>
      <c r="G31" s="35"/>
      <c r="H31" s="35">
        <v>1221976</v>
      </c>
      <c r="I31" s="35"/>
      <c r="J31" s="35">
        <v>0</v>
      </c>
      <c r="K31" s="35"/>
      <c r="L31" s="35">
        <v>20373</v>
      </c>
      <c r="M31" s="35"/>
      <c r="N31" s="35">
        <v>0</v>
      </c>
      <c r="O31" s="35"/>
      <c r="P31" s="35">
        <v>0</v>
      </c>
      <c r="Q31" s="35"/>
      <c r="R31" s="35">
        <v>29904</v>
      </c>
      <c r="S31" s="35"/>
      <c r="T31" s="35">
        <v>32269</v>
      </c>
      <c r="U31" s="35"/>
      <c r="V31" s="35">
        <v>11920</v>
      </c>
      <c r="W31" s="35"/>
      <c r="X31" s="35">
        <v>0</v>
      </c>
      <c r="Y31" s="35"/>
      <c r="Z31" s="35">
        <v>0</v>
      </c>
      <c r="AA31" s="35"/>
      <c r="AB31" s="35">
        <v>0</v>
      </c>
      <c r="AC31" s="35"/>
      <c r="AD31" s="35">
        <v>0</v>
      </c>
      <c r="AE31" s="35"/>
      <c r="AF31" s="35">
        <v>0</v>
      </c>
      <c r="AG31" s="35"/>
      <c r="AH31" s="4">
        <f>SUM(F31:AF31)</f>
        <v>1316442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s="4" customFormat="1">
      <c r="A32" s="4">
        <v>85</v>
      </c>
      <c r="B32" s="4" t="s">
        <v>84</v>
      </c>
      <c r="D32" s="4" t="s">
        <v>57</v>
      </c>
      <c r="F32" s="4">
        <v>1459633</v>
      </c>
      <c r="H32" s="4">
        <v>0</v>
      </c>
      <c r="J32" s="4">
        <v>803892</v>
      </c>
      <c r="L32" s="4">
        <v>58371</v>
      </c>
      <c r="N32" s="35">
        <v>0</v>
      </c>
      <c r="P32" s="4">
        <v>0</v>
      </c>
      <c r="R32" s="4">
        <v>661</v>
      </c>
      <c r="T32" s="4">
        <v>5753</v>
      </c>
      <c r="V32" s="4">
        <v>20916</v>
      </c>
      <c r="X32" s="4">
        <v>0</v>
      </c>
      <c r="Z32" s="4">
        <v>0</v>
      </c>
      <c r="AB32" s="4">
        <v>0</v>
      </c>
      <c r="AD32" s="4">
        <v>0</v>
      </c>
      <c r="AF32" s="4">
        <v>0</v>
      </c>
      <c r="AH32" s="4">
        <f>SUM(F32:AD32)</f>
        <v>2349226</v>
      </c>
    </row>
    <row r="33" spans="1:65" s="4" customFormat="1">
      <c r="A33" s="4">
        <v>65</v>
      </c>
      <c r="B33" s="35" t="s">
        <v>452</v>
      </c>
      <c r="C33" s="35"/>
      <c r="D33" s="35" t="s">
        <v>22</v>
      </c>
      <c r="E33" s="35"/>
      <c r="F33" s="35">
        <v>444413</v>
      </c>
      <c r="G33" s="35"/>
      <c r="H33" s="35">
        <v>1045583</v>
      </c>
      <c r="I33" s="35"/>
      <c r="J33" s="35">
        <v>90811</v>
      </c>
      <c r="K33" s="35"/>
      <c r="L33" s="35">
        <v>25517</v>
      </c>
      <c r="M33" s="35"/>
      <c r="N33" s="35">
        <v>0</v>
      </c>
      <c r="O33" s="35"/>
      <c r="P33" s="35">
        <v>0</v>
      </c>
      <c r="Q33" s="35"/>
      <c r="R33" s="35">
        <v>19302</v>
      </c>
      <c r="S33" s="35"/>
      <c r="T33" s="35">
        <v>31495</v>
      </c>
      <c r="U33" s="35"/>
      <c r="V33" s="35">
        <v>4139</v>
      </c>
      <c r="W33" s="35"/>
      <c r="X33" s="35">
        <v>0</v>
      </c>
      <c r="Y33" s="35"/>
      <c r="Z33" s="35">
        <v>15061</v>
      </c>
      <c r="AA33" s="35"/>
      <c r="AB33" s="35">
        <v>0</v>
      </c>
      <c r="AC33" s="35"/>
      <c r="AD33" s="35">
        <v>0</v>
      </c>
      <c r="AE33" s="35"/>
      <c r="AF33" s="35">
        <v>0</v>
      </c>
      <c r="AG33" s="35"/>
      <c r="AH33" s="4">
        <f>SUM(F33:AF33)</f>
        <v>1676321</v>
      </c>
    </row>
    <row r="34" spans="1:65" s="4" customFormat="1">
      <c r="A34" s="4">
        <v>204</v>
      </c>
      <c r="B34" s="4" t="s">
        <v>21</v>
      </c>
      <c r="D34" s="4" t="s">
        <v>13</v>
      </c>
      <c r="F34" s="35">
        <v>0</v>
      </c>
      <c r="H34" s="4">
        <v>0</v>
      </c>
      <c r="J34" s="4">
        <v>505365</v>
      </c>
      <c r="L34" s="4">
        <v>17714</v>
      </c>
      <c r="N34" s="35">
        <v>0</v>
      </c>
      <c r="P34" s="35">
        <v>0</v>
      </c>
      <c r="R34" s="4">
        <v>3718</v>
      </c>
      <c r="T34" s="4">
        <v>7613</v>
      </c>
      <c r="V34" s="4">
        <v>188</v>
      </c>
      <c r="X34" s="4">
        <v>0</v>
      </c>
      <c r="Z34" s="4">
        <v>0</v>
      </c>
      <c r="AB34" s="4">
        <v>0</v>
      </c>
      <c r="AD34" s="4">
        <v>0</v>
      </c>
      <c r="AF34" s="4">
        <v>0</v>
      </c>
      <c r="AH34" s="4">
        <f>SUM(F34:AD34)</f>
        <v>534598</v>
      </c>
    </row>
    <row r="35" spans="1:65" s="4" customFormat="1">
      <c r="A35" s="4">
        <v>203</v>
      </c>
      <c r="B35" s="35" t="s">
        <v>85</v>
      </c>
      <c r="C35" s="35"/>
      <c r="D35" s="35" t="s">
        <v>13</v>
      </c>
      <c r="E35" s="35"/>
      <c r="F35" s="35">
        <v>0</v>
      </c>
      <c r="G35" s="35"/>
      <c r="H35" s="35">
        <v>505365</v>
      </c>
      <c r="I35" s="35"/>
      <c r="J35" s="35">
        <v>0</v>
      </c>
      <c r="K35" s="35"/>
      <c r="L35" s="35">
        <v>9823</v>
      </c>
      <c r="M35" s="35"/>
      <c r="N35" s="35">
        <v>0</v>
      </c>
      <c r="O35" s="35"/>
      <c r="P35" s="35">
        <v>0</v>
      </c>
      <c r="Q35" s="35"/>
      <c r="R35" s="35">
        <v>0</v>
      </c>
      <c r="S35" s="35"/>
      <c r="T35" s="35">
        <v>28371</v>
      </c>
      <c r="U35" s="35"/>
      <c r="V35" s="35">
        <v>44</v>
      </c>
      <c r="W35" s="35"/>
      <c r="X35" s="35">
        <v>0</v>
      </c>
      <c r="Y35" s="35"/>
      <c r="Z35" s="35">
        <v>0</v>
      </c>
      <c r="AA35" s="35"/>
      <c r="AB35" s="35">
        <v>0</v>
      </c>
      <c r="AC35" s="35"/>
      <c r="AD35" s="35">
        <v>0</v>
      </c>
      <c r="AE35" s="35"/>
      <c r="AF35" s="35">
        <v>0</v>
      </c>
      <c r="AG35" s="35"/>
      <c r="AH35" s="4">
        <f>SUM(F35:AF35)</f>
        <v>543603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s="4" customFormat="1">
      <c r="A36" s="4">
        <v>104</v>
      </c>
      <c r="B36" s="4" t="s">
        <v>86</v>
      </c>
      <c r="D36" s="4" t="s">
        <v>87</v>
      </c>
      <c r="F36" s="35">
        <v>0</v>
      </c>
      <c r="H36" s="4">
        <v>82494</v>
      </c>
      <c r="J36" s="35">
        <v>0</v>
      </c>
      <c r="L36" s="4">
        <v>3170</v>
      </c>
      <c r="N36" s="35">
        <v>0</v>
      </c>
      <c r="P36" s="35">
        <v>0</v>
      </c>
      <c r="R36" s="4">
        <v>330</v>
      </c>
      <c r="T36" s="4">
        <v>7968</v>
      </c>
      <c r="V36" s="4">
        <v>9298</v>
      </c>
      <c r="X36" s="35">
        <v>0</v>
      </c>
      <c r="Z36" s="35">
        <v>0</v>
      </c>
      <c r="AB36" s="35">
        <v>0</v>
      </c>
      <c r="AD36" s="35">
        <v>0</v>
      </c>
      <c r="AF36" s="35">
        <v>0</v>
      </c>
      <c r="AH36" s="4">
        <f>SUM(F36:AD36)</f>
        <v>103260</v>
      </c>
    </row>
    <row r="37" spans="1:65" s="4" customFormat="1">
      <c r="A37" s="4">
        <v>206</v>
      </c>
      <c r="B37" s="4" t="s">
        <v>88</v>
      </c>
      <c r="D37" s="4" t="s">
        <v>89</v>
      </c>
      <c r="F37" s="4">
        <v>252304</v>
      </c>
      <c r="H37" s="4">
        <v>0</v>
      </c>
      <c r="J37" s="4">
        <f>684675+28658</f>
        <v>713333</v>
      </c>
      <c r="L37" s="4">
        <v>28995</v>
      </c>
      <c r="N37" s="4">
        <v>0</v>
      </c>
      <c r="P37" s="4">
        <v>0</v>
      </c>
      <c r="R37" s="4">
        <v>29310</v>
      </c>
      <c r="T37" s="4">
        <v>23630</v>
      </c>
      <c r="V37" s="4">
        <v>4978</v>
      </c>
      <c r="X37" s="4">
        <v>0</v>
      </c>
      <c r="Z37" s="4">
        <v>0</v>
      </c>
      <c r="AB37" s="35">
        <v>0</v>
      </c>
      <c r="AD37" s="35">
        <v>0</v>
      </c>
      <c r="AF37" s="35">
        <v>0</v>
      </c>
      <c r="AH37" s="4">
        <f>SUM(F37:AD37)</f>
        <v>1052550</v>
      </c>
    </row>
    <row r="38" spans="1:65" s="4" customFormat="1">
      <c r="A38" s="4">
        <v>15</v>
      </c>
      <c r="B38" s="4" t="s">
        <v>90</v>
      </c>
      <c r="D38" s="4" t="s">
        <v>45</v>
      </c>
      <c r="F38" s="4">
        <v>9356</v>
      </c>
      <c r="H38" s="4">
        <v>139559</v>
      </c>
      <c r="J38" s="35">
        <v>0</v>
      </c>
      <c r="L38" s="4">
        <v>4797</v>
      </c>
      <c r="N38" s="35">
        <v>0</v>
      </c>
      <c r="P38" s="35">
        <v>0</v>
      </c>
      <c r="R38" s="4">
        <v>480</v>
      </c>
      <c r="T38" s="4">
        <v>9787</v>
      </c>
      <c r="V38" s="35">
        <v>0</v>
      </c>
      <c r="X38" s="35">
        <v>0</v>
      </c>
      <c r="Z38" s="35">
        <v>0</v>
      </c>
      <c r="AB38" s="35">
        <v>0</v>
      </c>
      <c r="AD38" s="35">
        <v>0</v>
      </c>
      <c r="AF38" s="35">
        <v>0</v>
      </c>
      <c r="AH38" s="4">
        <f>SUM(F38:AD38)</f>
        <v>163979</v>
      </c>
    </row>
    <row r="39" spans="1:65" s="4" customFormat="1">
      <c r="A39" s="4">
        <v>161</v>
      </c>
      <c r="B39" s="4" t="s">
        <v>299</v>
      </c>
      <c r="D39" s="4" t="s">
        <v>92</v>
      </c>
      <c r="F39" s="35">
        <v>0</v>
      </c>
      <c r="H39" s="4">
        <v>1856026</v>
      </c>
      <c r="J39" s="35">
        <v>0</v>
      </c>
      <c r="L39" s="4">
        <v>68722</v>
      </c>
      <c r="N39" s="35">
        <v>0</v>
      </c>
      <c r="P39" s="35">
        <v>0</v>
      </c>
      <c r="R39" s="4">
        <v>11780</v>
      </c>
      <c r="T39" s="4">
        <v>6986</v>
      </c>
      <c r="V39" s="4">
        <v>10730</v>
      </c>
      <c r="X39" s="35">
        <v>0</v>
      </c>
      <c r="Z39" s="35">
        <v>0</v>
      </c>
      <c r="AB39" s="35">
        <v>0</v>
      </c>
      <c r="AD39" s="35">
        <v>0</v>
      </c>
      <c r="AF39" s="35">
        <v>0</v>
      </c>
      <c r="AH39" s="4">
        <f>SUM(F39:AD39)</f>
        <v>1954244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s="4" customFormat="1">
      <c r="A40" s="4">
        <v>162</v>
      </c>
      <c r="B40" s="4" t="s">
        <v>93</v>
      </c>
      <c r="D40" s="4" t="s">
        <v>94</v>
      </c>
      <c r="F40" s="35">
        <v>0</v>
      </c>
      <c r="H40" s="35">
        <v>0</v>
      </c>
      <c r="J40" s="4">
        <v>1722775</v>
      </c>
      <c r="L40" s="4">
        <v>33151</v>
      </c>
      <c r="N40" s="35">
        <v>0</v>
      </c>
      <c r="P40" s="35">
        <v>0</v>
      </c>
      <c r="R40" s="4">
        <v>7160</v>
      </c>
      <c r="T40" s="4">
        <v>32894</v>
      </c>
      <c r="V40" s="4">
        <v>10409</v>
      </c>
      <c r="X40" s="35">
        <v>0</v>
      </c>
      <c r="Z40" s="35">
        <v>0</v>
      </c>
      <c r="AB40" s="35">
        <v>0</v>
      </c>
      <c r="AD40" s="35">
        <v>0</v>
      </c>
      <c r="AF40" s="35">
        <v>0</v>
      </c>
      <c r="AH40" s="4">
        <f>SUM(F40:AD40)</f>
        <v>1806389</v>
      </c>
    </row>
    <row r="41" spans="1:65" s="4" customFormat="1">
      <c r="A41" s="4">
        <v>11</v>
      </c>
      <c r="B41" s="4" t="s">
        <v>95</v>
      </c>
      <c r="D41" s="4" t="s">
        <v>69</v>
      </c>
      <c r="F41" s="35">
        <v>0</v>
      </c>
      <c r="H41" s="4">
        <v>490478</v>
      </c>
      <c r="J41" s="35">
        <v>0</v>
      </c>
      <c r="L41" s="4">
        <v>10879</v>
      </c>
      <c r="N41" s="35">
        <v>0</v>
      </c>
      <c r="P41" s="35">
        <v>0</v>
      </c>
      <c r="R41" s="4">
        <v>1725</v>
      </c>
      <c r="T41" s="4">
        <v>1700</v>
      </c>
      <c r="V41" s="4">
        <v>1543</v>
      </c>
      <c r="X41" s="35">
        <v>0</v>
      </c>
      <c r="Z41" s="35">
        <v>0</v>
      </c>
      <c r="AB41" s="35">
        <v>0</v>
      </c>
      <c r="AD41" s="35">
        <v>0</v>
      </c>
      <c r="AF41" s="35">
        <v>0</v>
      </c>
      <c r="AH41" s="4">
        <f>SUM(F41:AD41)</f>
        <v>506325</v>
      </c>
    </row>
    <row r="42" spans="1:65" s="4" customFormat="1">
      <c r="A42" s="4">
        <v>103</v>
      </c>
      <c r="B42" s="35" t="s">
        <v>96</v>
      </c>
      <c r="C42" s="35"/>
      <c r="D42" s="35" t="s">
        <v>45</v>
      </c>
      <c r="E42" s="35"/>
      <c r="F42" s="35">
        <v>0</v>
      </c>
      <c r="G42" s="35"/>
      <c r="H42" s="35">
        <v>0</v>
      </c>
      <c r="I42" s="35"/>
      <c r="J42" s="35">
        <v>153423</v>
      </c>
      <c r="K42" s="35"/>
      <c r="L42" s="35">
        <v>2512</v>
      </c>
      <c r="M42" s="35"/>
      <c r="N42" s="35">
        <v>0</v>
      </c>
      <c r="O42" s="35"/>
      <c r="P42" s="35">
        <v>0</v>
      </c>
      <c r="Q42" s="35"/>
      <c r="R42" s="35">
        <v>1937</v>
      </c>
      <c r="S42" s="35"/>
      <c r="T42" s="35">
        <v>1769</v>
      </c>
      <c r="U42" s="35"/>
      <c r="V42" s="35">
        <v>323</v>
      </c>
      <c r="W42" s="35"/>
      <c r="X42" s="35">
        <v>0</v>
      </c>
      <c r="Y42" s="35"/>
      <c r="Z42" s="35">
        <v>0</v>
      </c>
      <c r="AA42" s="35"/>
      <c r="AB42" s="35">
        <v>0</v>
      </c>
      <c r="AC42" s="35"/>
      <c r="AD42" s="35">
        <v>0</v>
      </c>
      <c r="AE42" s="35"/>
      <c r="AF42" s="35">
        <v>0</v>
      </c>
      <c r="AG42" s="35"/>
      <c r="AH42" s="4">
        <f>SUM(F42:AF42)</f>
        <v>159964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s="4" customFormat="1">
      <c r="A43" s="4">
        <v>101</v>
      </c>
      <c r="B43" s="35" t="s">
        <v>300</v>
      </c>
      <c r="C43" s="35"/>
      <c r="D43" s="35" t="s">
        <v>97</v>
      </c>
      <c r="E43" s="35"/>
      <c r="F43" s="35">
        <v>101296</v>
      </c>
      <c r="G43" s="35"/>
      <c r="H43" s="35">
        <v>277886</v>
      </c>
      <c r="I43" s="35"/>
      <c r="J43" s="35">
        <v>23025</v>
      </c>
      <c r="K43" s="35"/>
      <c r="L43" s="35">
        <v>8323</v>
      </c>
      <c r="M43" s="35"/>
      <c r="N43" s="35">
        <v>0</v>
      </c>
      <c r="O43" s="35"/>
      <c r="P43" s="35">
        <v>0</v>
      </c>
      <c r="Q43" s="35"/>
      <c r="R43" s="35">
        <v>1234</v>
      </c>
      <c r="S43" s="35"/>
      <c r="T43" s="35">
        <v>5040</v>
      </c>
      <c r="U43" s="35"/>
      <c r="V43" s="35">
        <v>2248</v>
      </c>
      <c r="W43" s="35"/>
      <c r="X43" s="35">
        <v>0</v>
      </c>
      <c r="Y43" s="35"/>
      <c r="Z43" s="35">
        <v>0</v>
      </c>
      <c r="AA43" s="35"/>
      <c r="AB43" s="35">
        <v>0</v>
      </c>
      <c r="AC43" s="35"/>
      <c r="AD43" s="35">
        <v>0</v>
      </c>
      <c r="AE43" s="35"/>
      <c r="AF43" s="35">
        <v>0</v>
      </c>
      <c r="AG43" s="35"/>
      <c r="AH43" s="4">
        <f>SUM(F43:AF43)</f>
        <v>419052</v>
      </c>
    </row>
    <row r="44" spans="1:65" s="4" customFormat="1">
      <c r="A44" s="4">
        <v>133</v>
      </c>
      <c r="B44" s="35" t="s">
        <v>98</v>
      </c>
      <c r="C44" s="35"/>
      <c r="D44" s="35" t="s">
        <v>46</v>
      </c>
      <c r="E44" s="35"/>
      <c r="F44" s="35">
        <v>0</v>
      </c>
      <c r="G44" s="35"/>
      <c r="H44" s="35">
        <v>225347</v>
      </c>
      <c r="I44" s="35"/>
      <c r="J44" s="35">
        <v>0</v>
      </c>
      <c r="K44" s="35"/>
      <c r="L44" s="35">
        <v>4877</v>
      </c>
      <c r="M44" s="35"/>
      <c r="N44" s="35">
        <v>0</v>
      </c>
      <c r="O44" s="35"/>
      <c r="P44" s="35">
        <v>0</v>
      </c>
      <c r="Q44" s="35"/>
      <c r="R44" s="35">
        <v>1050</v>
      </c>
      <c r="S44" s="35"/>
      <c r="T44" s="35">
        <v>7200</v>
      </c>
      <c r="U44" s="35"/>
      <c r="V44" s="35">
        <v>401</v>
      </c>
      <c r="W44" s="35"/>
      <c r="X44" s="35">
        <v>0</v>
      </c>
      <c r="Y44" s="35"/>
      <c r="Z44" s="35">
        <v>0</v>
      </c>
      <c r="AA44" s="35"/>
      <c r="AB44" s="35">
        <v>0</v>
      </c>
      <c r="AC44" s="35"/>
      <c r="AD44" s="35">
        <v>0</v>
      </c>
      <c r="AE44" s="35"/>
      <c r="AF44" s="35">
        <v>0</v>
      </c>
      <c r="AG44" s="35"/>
      <c r="AH44" s="4">
        <f>SUM(F44:AF44)</f>
        <v>238875</v>
      </c>
    </row>
    <row r="45" spans="1:65" s="4" customFormat="1">
      <c r="A45" s="4">
        <v>259</v>
      </c>
      <c r="B45" s="35" t="s">
        <v>99</v>
      </c>
      <c r="C45" s="35"/>
      <c r="D45" s="35" t="s">
        <v>53</v>
      </c>
      <c r="E45" s="35"/>
      <c r="F45" s="35">
        <v>0</v>
      </c>
      <c r="G45" s="35"/>
      <c r="H45" s="35">
        <v>201301</v>
      </c>
      <c r="I45" s="35"/>
      <c r="J45" s="35">
        <v>0</v>
      </c>
      <c r="K45" s="35"/>
      <c r="L45" s="35">
        <v>8545</v>
      </c>
      <c r="M45" s="35"/>
      <c r="N45" s="35">
        <v>0</v>
      </c>
      <c r="O45" s="35"/>
      <c r="P45" s="35">
        <v>0</v>
      </c>
      <c r="Q45" s="35"/>
      <c r="R45" s="35">
        <v>1956</v>
      </c>
      <c r="S45" s="35"/>
      <c r="T45" s="35">
        <v>2285</v>
      </c>
      <c r="U45" s="35"/>
      <c r="V45" s="35">
        <v>705</v>
      </c>
      <c r="W45" s="35"/>
      <c r="X45" s="35">
        <v>29</v>
      </c>
      <c r="Y45" s="35"/>
      <c r="Z45" s="35">
        <v>0</v>
      </c>
      <c r="AA45" s="35"/>
      <c r="AB45" s="35">
        <v>0</v>
      </c>
      <c r="AC45" s="35"/>
      <c r="AD45" s="35">
        <v>0</v>
      </c>
      <c r="AE45" s="35"/>
      <c r="AF45" s="35">
        <v>0</v>
      </c>
      <c r="AG45" s="35"/>
      <c r="AH45" s="4">
        <f>SUM(F45:AF45)</f>
        <v>214821</v>
      </c>
    </row>
    <row r="46" spans="1:65" s="4" customFormat="1">
      <c r="A46" s="4">
        <v>150</v>
      </c>
      <c r="B46" s="4" t="s">
        <v>583</v>
      </c>
      <c r="D46" s="4" t="s">
        <v>584</v>
      </c>
      <c r="F46" s="35">
        <v>0</v>
      </c>
      <c r="H46" s="4">
        <v>2300084</v>
      </c>
      <c r="J46" s="35">
        <v>0</v>
      </c>
      <c r="L46" s="4">
        <v>50477</v>
      </c>
      <c r="N46" s="35">
        <v>0</v>
      </c>
      <c r="P46" s="35">
        <v>0</v>
      </c>
      <c r="R46" s="4">
        <v>1180</v>
      </c>
      <c r="T46" s="4">
        <v>5174</v>
      </c>
      <c r="V46" s="4">
        <v>9503</v>
      </c>
      <c r="X46" s="35">
        <v>0</v>
      </c>
      <c r="Z46" s="35">
        <v>0</v>
      </c>
      <c r="AB46" s="35">
        <v>0</v>
      </c>
      <c r="AD46" s="35">
        <v>0</v>
      </c>
      <c r="AF46" s="35">
        <v>0</v>
      </c>
      <c r="AH46" s="4">
        <f>SUM(F46:AD46)</f>
        <v>2366418</v>
      </c>
    </row>
    <row r="47" spans="1:65" s="4" customFormat="1">
      <c r="A47" s="4">
        <v>36</v>
      </c>
      <c r="B47" s="4" t="s">
        <v>100</v>
      </c>
      <c r="D47" s="4" t="s">
        <v>56</v>
      </c>
      <c r="F47" s="35">
        <v>0</v>
      </c>
      <c r="H47" s="35">
        <v>457452</v>
      </c>
      <c r="J47" s="35">
        <v>0</v>
      </c>
      <c r="L47" s="35">
        <v>13749</v>
      </c>
      <c r="N47" s="35">
        <v>0</v>
      </c>
      <c r="P47" s="35">
        <v>0</v>
      </c>
      <c r="R47" s="35">
        <v>75</v>
      </c>
      <c r="T47" s="35">
        <v>8232</v>
      </c>
      <c r="V47" s="35">
        <v>9854</v>
      </c>
      <c r="X47" s="35">
        <v>0</v>
      </c>
      <c r="Z47" s="35">
        <v>0</v>
      </c>
      <c r="AB47" s="35">
        <v>0</v>
      </c>
      <c r="AD47" s="35">
        <v>0</v>
      </c>
      <c r="AF47" s="35">
        <v>0</v>
      </c>
      <c r="AH47" s="4">
        <f>SUM(F47:AF47)</f>
        <v>489362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s="4" customFormat="1">
      <c r="A48" s="4">
        <v>176</v>
      </c>
      <c r="B48" s="35" t="s">
        <v>475</v>
      </c>
      <c r="C48" s="35"/>
      <c r="D48" s="35" t="s">
        <v>47</v>
      </c>
      <c r="E48" s="35"/>
      <c r="F48" s="35">
        <v>0</v>
      </c>
      <c r="G48" s="35"/>
      <c r="H48" s="35">
        <v>853503</v>
      </c>
      <c r="I48" s="35"/>
      <c r="J48" s="35">
        <v>0</v>
      </c>
      <c r="K48" s="35"/>
      <c r="L48" s="35">
        <v>34393</v>
      </c>
      <c r="M48" s="35"/>
      <c r="N48" s="35">
        <v>0</v>
      </c>
      <c r="O48" s="35"/>
      <c r="P48" s="35">
        <v>0</v>
      </c>
      <c r="Q48" s="35"/>
      <c r="R48" s="35">
        <v>3377</v>
      </c>
      <c r="S48" s="35"/>
      <c r="T48" s="35">
        <v>2924</v>
      </c>
      <c r="U48" s="35"/>
      <c r="V48" s="35">
        <v>13645</v>
      </c>
      <c r="W48" s="35"/>
      <c r="X48" s="35">
        <v>0</v>
      </c>
      <c r="Y48" s="35"/>
      <c r="Z48" s="35">
        <v>0</v>
      </c>
      <c r="AA48" s="35"/>
      <c r="AB48" s="35">
        <v>0</v>
      </c>
      <c r="AC48" s="35"/>
      <c r="AD48" s="35">
        <v>0</v>
      </c>
      <c r="AE48" s="35"/>
      <c r="AF48" s="35">
        <v>0</v>
      </c>
      <c r="AG48" s="35"/>
      <c r="AH48" s="4">
        <f>SUM(F48:AF48)</f>
        <v>907842</v>
      </c>
    </row>
    <row r="49" spans="1:65" s="4" customFormat="1">
      <c r="A49" s="4">
        <v>158</v>
      </c>
      <c r="B49" s="4" t="s">
        <v>101</v>
      </c>
      <c r="D49" s="4" t="s">
        <v>102</v>
      </c>
      <c r="F49" s="35">
        <v>0</v>
      </c>
      <c r="H49" s="4">
        <v>120486</v>
      </c>
      <c r="J49" s="35">
        <v>0</v>
      </c>
      <c r="L49" s="4">
        <v>6406</v>
      </c>
      <c r="N49" s="35">
        <v>0</v>
      </c>
      <c r="P49" s="35">
        <v>0</v>
      </c>
      <c r="R49" s="4">
        <v>3954</v>
      </c>
      <c r="T49" s="4">
        <v>5550</v>
      </c>
      <c r="V49" s="35">
        <v>0</v>
      </c>
      <c r="X49" s="35">
        <v>0</v>
      </c>
      <c r="Z49" s="35">
        <v>0</v>
      </c>
      <c r="AB49" s="35">
        <v>0</v>
      </c>
      <c r="AD49" s="35">
        <v>0</v>
      </c>
      <c r="AF49" s="35">
        <v>0</v>
      </c>
      <c r="AH49" s="4">
        <f>SUM(F49:AD49)</f>
        <v>136396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4" customFormat="1">
      <c r="A50" s="4">
        <v>106</v>
      </c>
      <c r="B50" s="4" t="s">
        <v>103</v>
      </c>
      <c r="D50" s="4" t="s">
        <v>52</v>
      </c>
      <c r="F50" s="35">
        <v>0</v>
      </c>
      <c r="H50" s="4">
        <v>629480</v>
      </c>
      <c r="J50" s="35">
        <v>0</v>
      </c>
      <c r="L50" s="4">
        <v>7216</v>
      </c>
      <c r="N50" s="35">
        <v>0</v>
      </c>
      <c r="P50" s="35">
        <v>0</v>
      </c>
      <c r="R50" s="4">
        <v>5753</v>
      </c>
      <c r="T50" s="4">
        <v>68122</v>
      </c>
      <c r="V50" s="4">
        <v>20588</v>
      </c>
      <c r="X50" s="35">
        <v>0</v>
      </c>
      <c r="Z50" s="4">
        <v>3534</v>
      </c>
      <c r="AB50" s="35">
        <v>0</v>
      </c>
      <c r="AD50" s="35">
        <v>0</v>
      </c>
      <c r="AF50" s="35">
        <v>0</v>
      </c>
      <c r="AH50" s="4">
        <f>SUM(F50:AD50)</f>
        <v>734693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s="4" customFormat="1">
      <c r="A51" s="4">
        <v>112</v>
      </c>
      <c r="B51" s="35" t="s">
        <v>104</v>
      </c>
      <c r="C51" s="35"/>
      <c r="D51" s="35" t="s">
        <v>17</v>
      </c>
      <c r="E51" s="35"/>
      <c r="F51" s="35">
        <v>140955</v>
      </c>
      <c r="G51" s="35"/>
      <c r="H51" s="35">
        <v>550866</v>
      </c>
      <c r="I51" s="35"/>
      <c r="J51" s="35">
        <v>39755</v>
      </c>
      <c r="K51" s="35"/>
      <c r="L51" s="35">
        <v>19467</v>
      </c>
      <c r="M51" s="35"/>
      <c r="N51" s="35">
        <v>0</v>
      </c>
      <c r="O51" s="35"/>
      <c r="P51" s="35">
        <v>0</v>
      </c>
      <c r="Q51" s="35"/>
      <c r="R51" s="35">
        <v>18465</v>
      </c>
      <c r="S51" s="35"/>
      <c r="T51" s="35">
        <v>1785</v>
      </c>
      <c r="U51" s="35"/>
      <c r="V51" s="35">
        <v>712</v>
      </c>
      <c r="W51" s="35"/>
      <c r="X51" s="35">
        <v>20</v>
      </c>
      <c r="Y51" s="35"/>
      <c r="Z51" s="35">
        <v>0</v>
      </c>
      <c r="AA51" s="35"/>
      <c r="AB51" s="35">
        <v>0</v>
      </c>
      <c r="AC51" s="35"/>
      <c r="AD51" s="35">
        <v>0</v>
      </c>
      <c r="AE51" s="35"/>
      <c r="AF51" s="35">
        <v>0</v>
      </c>
      <c r="AG51" s="35"/>
      <c r="AH51" s="4">
        <f>SUM(F51:AF51)</f>
        <v>772025</v>
      </c>
    </row>
    <row r="52" spans="1:65" s="4" customFormat="1">
      <c r="A52" s="4">
        <v>116</v>
      </c>
      <c r="B52" s="35" t="s">
        <v>105</v>
      </c>
      <c r="C52" s="35"/>
      <c r="D52" s="35" t="s">
        <v>106</v>
      </c>
      <c r="E52" s="35"/>
      <c r="F52" s="35">
        <v>0</v>
      </c>
      <c r="G52" s="35"/>
      <c r="H52" s="35">
        <v>452460</v>
      </c>
      <c r="I52" s="35"/>
      <c r="J52" s="35">
        <v>0</v>
      </c>
      <c r="K52" s="35"/>
      <c r="L52" s="35">
        <v>13657</v>
      </c>
      <c r="M52" s="35"/>
      <c r="N52" s="35">
        <v>0</v>
      </c>
      <c r="O52" s="35"/>
      <c r="P52" s="35">
        <v>0</v>
      </c>
      <c r="Q52" s="35"/>
      <c r="R52" s="35">
        <v>320</v>
      </c>
      <c r="S52" s="35"/>
      <c r="T52" s="35">
        <v>7222</v>
      </c>
      <c r="U52" s="35"/>
      <c r="V52" s="35">
        <v>835</v>
      </c>
      <c r="W52" s="35"/>
      <c r="X52" s="35">
        <v>0</v>
      </c>
      <c r="Y52" s="35"/>
      <c r="Z52" s="35">
        <v>0</v>
      </c>
      <c r="AA52" s="35"/>
      <c r="AB52" s="35">
        <v>0</v>
      </c>
      <c r="AC52" s="35"/>
      <c r="AD52" s="35">
        <v>0</v>
      </c>
      <c r="AE52" s="35"/>
      <c r="AF52" s="35">
        <v>0</v>
      </c>
      <c r="AG52" s="35"/>
      <c r="AH52" s="4">
        <f>SUM(F52:AF52)</f>
        <v>474494</v>
      </c>
    </row>
    <row r="53" spans="1:65" s="4" customFormat="1">
      <c r="A53" s="4">
        <v>177</v>
      </c>
      <c r="B53" s="35" t="s">
        <v>107</v>
      </c>
      <c r="C53" s="35"/>
      <c r="D53" s="35" t="s">
        <v>25</v>
      </c>
      <c r="E53" s="35"/>
      <c r="F53" s="35">
        <v>216409</v>
      </c>
      <c r="G53" s="35"/>
      <c r="H53" s="35">
        <v>605665</v>
      </c>
      <c r="I53" s="35"/>
      <c r="J53" s="35">
        <v>32706</v>
      </c>
      <c r="K53" s="35"/>
      <c r="L53" s="35">
        <v>28771</v>
      </c>
      <c r="M53" s="35"/>
      <c r="N53" s="35">
        <v>0</v>
      </c>
      <c r="O53" s="35"/>
      <c r="P53" s="35">
        <v>0</v>
      </c>
      <c r="Q53" s="35"/>
      <c r="R53" s="35">
        <v>2099</v>
      </c>
      <c r="S53" s="35"/>
      <c r="T53" s="35">
        <v>9010</v>
      </c>
      <c r="U53" s="35"/>
      <c r="V53" s="35">
        <v>2496</v>
      </c>
      <c r="W53" s="35"/>
      <c r="X53" s="35">
        <v>0</v>
      </c>
      <c r="Y53" s="35"/>
      <c r="Z53" s="35">
        <v>0</v>
      </c>
      <c r="AA53" s="35"/>
      <c r="AB53" s="35">
        <v>0</v>
      </c>
      <c r="AC53" s="35"/>
      <c r="AD53" s="35">
        <v>60</v>
      </c>
      <c r="AE53" s="35"/>
      <c r="AF53" s="35">
        <v>0</v>
      </c>
      <c r="AG53" s="35"/>
      <c r="AH53" s="4">
        <f>SUM(F53:AF53)</f>
        <v>897216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s="4" customFormat="1">
      <c r="A54" s="4">
        <v>174</v>
      </c>
      <c r="B54" s="4" t="s">
        <v>108</v>
      </c>
      <c r="D54" s="4" t="s">
        <v>68</v>
      </c>
      <c r="F54" s="35">
        <v>0</v>
      </c>
      <c r="H54" s="4">
        <v>267456</v>
      </c>
      <c r="J54" s="35">
        <v>0</v>
      </c>
      <c r="L54" s="4">
        <v>9172</v>
      </c>
      <c r="N54" s="35">
        <v>0</v>
      </c>
      <c r="P54" s="35">
        <v>0</v>
      </c>
      <c r="R54" s="4">
        <v>1649</v>
      </c>
      <c r="T54" s="4">
        <v>4132</v>
      </c>
      <c r="V54" s="4">
        <v>5898</v>
      </c>
      <c r="X54" s="4">
        <v>1498</v>
      </c>
      <c r="Z54" s="35">
        <v>0</v>
      </c>
      <c r="AB54" s="35">
        <v>0</v>
      </c>
      <c r="AD54" s="35">
        <v>0</v>
      </c>
      <c r="AF54" s="35">
        <v>0</v>
      </c>
      <c r="AH54" s="4">
        <f>SUM(F54:AD54)</f>
        <v>289805</v>
      </c>
    </row>
    <row r="55" spans="1:65" s="4" customFormat="1">
      <c r="A55" s="4">
        <v>95</v>
      </c>
      <c r="B55" s="4" t="s">
        <v>109</v>
      </c>
      <c r="D55" s="4" t="s">
        <v>110</v>
      </c>
      <c r="F55" s="4">
        <v>0</v>
      </c>
      <c r="H55" s="4">
        <v>1033005</v>
      </c>
      <c r="J55" s="4">
        <v>0</v>
      </c>
      <c r="L55" s="4">
        <v>16803</v>
      </c>
      <c r="N55" s="35">
        <v>0</v>
      </c>
      <c r="P55" s="35">
        <v>0</v>
      </c>
      <c r="R55" s="4">
        <v>1298</v>
      </c>
      <c r="T55" s="4">
        <v>40324</v>
      </c>
      <c r="V55" s="4">
        <v>18683</v>
      </c>
      <c r="X55" s="4">
        <v>0</v>
      </c>
      <c r="Z55" s="4">
        <v>0</v>
      </c>
      <c r="AB55" s="4">
        <v>0</v>
      </c>
      <c r="AD55" s="4">
        <v>0</v>
      </c>
      <c r="AF55" s="4">
        <v>0</v>
      </c>
      <c r="AH55" s="4">
        <f>SUM(F55:AD55)</f>
        <v>1110113</v>
      </c>
    </row>
    <row r="56" spans="1:65" s="4" customFormat="1">
      <c r="A56" s="4">
        <v>121</v>
      </c>
      <c r="B56" s="35" t="s">
        <v>596</v>
      </c>
      <c r="C56" s="35"/>
      <c r="D56" s="35" t="s">
        <v>48</v>
      </c>
      <c r="E56" s="35"/>
      <c r="F56" s="35">
        <v>0</v>
      </c>
      <c r="G56" s="35"/>
      <c r="H56" s="35">
        <v>713951</v>
      </c>
      <c r="I56" s="35"/>
      <c r="J56" s="35">
        <v>0</v>
      </c>
      <c r="K56" s="35"/>
      <c r="L56" s="35">
        <v>27976</v>
      </c>
      <c r="M56" s="35"/>
      <c r="N56" s="35">
        <v>0</v>
      </c>
      <c r="O56" s="35"/>
      <c r="P56" s="35">
        <v>0</v>
      </c>
      <c r="Q56" s="35"/>
      <c r="R56" s="35">
        <v>1705</v>
      </c>
      <c r="S56" s="35"/>
      <c r="T56" s="35">
        <v>13740</v>
      </c>
      <c r="U56" s="35"/>
      <c r="V56" s="35">
        <v>16188</v>
      </c>
      <c r="W56" s="35"/>
      <c r="X56" s="35">
        <v>0</v>
      </c>
      <c r="Y56" s="35"/>
      <c r="Z56" s="35">
        <v>53402</v>
      </c>
      <c r="AA56" s="35"/>
      <c r="AB56" s="35">
        <v>0</v>
      </c>
      <c r="AC56" s="35"/>
      <c r="AD56" s="35">
        <v>0</v>
      </c>
      <c r="AE56" s="35"/>
      <c r="AF56" s="35">
        <v>0</v>
      </c>
      <c r="AG56" s="35"/>
      <c r="AH56" s="4">
        <f>SUM(F56:AF56)</f>
        <v>826962</v>
      </c>
    </row>
    <row r="57" spans="1:65" s="4" customFormat="1">
      <c r="A57" s="4">
        <v>84</v>
      </c>
      <c r="B57" s="4" t="s">
        <v>111</v>
      </c>
      <c r="D57" s="4" t="s">
        <v>16</v>
      </c>
      <c r="F57" s="35">
        <v>0</v>
      </c>
      <c r="H57" s="4">
        <v>279106</v>
      </c>
      <c r="J57" s="35">
        <v>0</v>
      </c>
      <c r="L57" s="4">
        <v>6909</v>
      </c>
      <c r="N57" s="35">
        <v>0</v>
      </c>
      <c r="P57" s="35">
        <v>0</v>
      </c>
      <c r="R57" s="4">
        <v>572</v>
      </c>
      <c r="T57" s="4">
        <v>24072</v>
      </c>
      <c r="V57" s="4">
        <v>127</v>
      </c>
      <c r="X57" s="35">
        <v>0</v>
      </c>
      <c r="Z57" s="35">
        <v>0</v>
      </c>
      <c r="AB57" s="35">
        <v>0</v>
      </c>
      <c r="AD57" s="35">
        <v>0</v>
      </c>
      <c r="AF57" s="35">
        <v>0</v>
      </c>
      <c r="AH57" s="4">
        <f>SUM(F57:AD57)</f>
        <v>310786</v>
      </c>
    </row>
    <row r="58" spans="1:65" s="4" customFormat="1">
      <c r="A58" s="4">
        <v>248</v>
      </c>
      <c r="B58" s="4" t="s">
        <v>597</v>
      </c>
      <c r="D58" s="4" t="s">
        <v>62</v>
      </c>
      <c r="F58" s="4">
        <v>123802</v>
      </c>
      <c r="H58" s="4">
        <v>720847</v>
      </c>
      <c r="J58" s="35">
        <v>0</v>
      </c>
      <c r="L58" s="4">
        <v>42025</v>
      </c>
      <c r="N58" s="35">
        <v>0</v>
      </c>
      <c r="P58" s="35">
        <v>0</v>
      </c>
      <c r="R58" s="4">
        <v>2731</v>
      </c>
      <c r="T58" s="4">
        <v>1938</v>
      </c>
      <c r="V58" s="4">
        <v>11009</v>
      </c>
      <c r="X58" s="35">
        <v>0</v>
      </c>
      <c r="Z58" s="4">
        <v>40000</v>
      </c>
      <c r="AB58" s="35">
        <v>0</v>
      </c>
      <c r="AD58" s="35">
        <v>0</v>
      </c>
      <c r="AF58" s="35">
        <v>0</v>
      </c>
      <c r="AH58" s="4">
        <f>SUM(F58:AD58)</f>
        <v>942352</v>
      </c>
    </row>
    <row r="59" spans="1:65" s="4" customFormat="1">
      <c r="A59" s="4">
        <v>29</v>
      </c>
      <c r="B59" s="35" t="s">
        <v>573</v>
      </c>
      <c r="C59" s="35"/>
      <c r="D59" s="35" t="s">
        <v>49</v>
      </c>
      <c r="E59" s="35"/>
      <c r="F59" s="35">
        <v>0</v>
      </c>
      <c r="G59" s="35"/>
      <c r="H59" s="35">
        <v>2635408</v>
      </c>
      <c r="I59" s="35"/>
      <c r="J59" s="35">
        <v>0</v>
      </c>
      <c r="K59" s="35"/>
      <c r="L59" s="35">
        <v>70551</v>
      </c>
      <c r="M59" s="35"/>
      <c r="N59" s="35">
        <v>0</v>
      </c>
      <c r="O59" s="35"/>
      <c r="P59" s="35">
        <v>0</v>
      </c>
      <c r="Q59" s="35"/>
      <c r="R59" s="35">
        <v>11163</v>
      </c>
      <c r="S59" s="35"/>
      <c r="T59" s="35">
        <v>16479</v>
      </c>
      <c r="U59" s="35"/>
      <c r="V59" s="35">
        <v>18649</v>
      </c>
      <c r="W59" s="35"/>
      <c r="X59" s="35">
        <v>0</v>
      </c>
      <c r="Y59" s="35"/>
      <c r="Z59" s="35">
        <v>0</v>
      </c>
      <c r="AA59" s="35"/>
      <c r="AB59" s="35">
        <v>0</v>
      </c>
      <c r="AC59" s="35"/>
      <c r="AD59" s="35">
        <v>0</v>
      </c>
      <c r="AE59" s="35"/>
      <c r="AF59" s="35">
        <v>0</v>
      </c>
      <c r="AG59" s="35"/>
      <c r="AH59" s="4">
        <f>SUM(F59:AF59)</f>
        <v>2752250</v>
      </c>
    </row>
    <row r="60" spans="1:65" s="4" customFormat="1">
      <c r="A60" s="4">
        <v>58</v>
      </c>
      <c r="B60" s="4" t="s">
        <v>113</v>
      </c>
      <c r="D60" s="4" t="s">
        <v>114</v>
      </c>
      <c r="F60" s="35">
        <v>0</v>
      </c>
      <c r="H60" s="4">
        <v>4835114</v>
      </c>
      <c r="J60" s="35">
        <v>0</v>
      </c>
      <c r="L60" s="4">
        <v>116505</v>
      </c>
      <c r="N60" s="35">
        <v>0</v>
      </c>
      <c r="P60" s="4">
        <v>2185</v>
      </c>
      <c r="R60" s="4">
        <v>32534</v>
      </c>
      <c r="T60" s="4">
        <v>176985</v>
      </c>
      <c r="V60" s="4">
        <v>60734</v>
      </c>
      <c r="X60" s="35">
        <v>0</v>
      </c>
      <c r="Z60" s="35">
        <v>0</v>
      </c>
      <c r="AB60" s="35">
        <v>0</v>
      </c>
      <c r="AD60" s="4">
        <v>5916</v>
      </c>
      <c r="AF60" s="35">
        <v>0</v>
      </c>
      <c r="AH60" s="4">
        <f>SUM(F60:AD60)</f>
        <v>5229973</v>
      </c>
    </row>
    <row r="61" spans="1:65" s="4" customFormat="1">
      <c r="A61" s="4">
        <v>60</v>
      </c>
      <c r="B61" s="4" t="s">
        <v>301</v>
      </c>
      <c r="D61" s="4" t="s">
        <v>26</v>
      </c>
      <c r="F61" s="35">
        <v>0</v>
      </c>
      <c r="H61" s="35">
        <v>445360</v>
      </c>
      <c r="J61" s="35">
        <v>5000</v>
      </c>
      <c r="L61" s="35">
        <v>8644</v>
      </c>
      <c r="N61" s="35">
        <v>0</v>
      </c>
      <c r="P61" s="35">
        <v>0</v>
      </c>
      <c r="R61" s="35">
        <v>1165</v>
      </c>
      <c r="T61" s="35">
        <v>6839</v>
      </c>
      <c r="V61" s="35">
        <v>176</v>
      </c>
      <c r="X61" s="35">
        <v>0</v>
      </c>
      <c r="Z61" s="35">
        <v>0</v>
      </c>
      <c r="AB61" s="35">
        <v>0</v>
      </c>
      <c r="AD61" s="35">
        <v>0</v>
      </c>
      <c r="AF61" s="35">
        <v>0</v>
      </c>
      <c r="AH61" s="4">
        <f>SUM(F61:AF61)</f>
        <v>467184</v>
      </c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s="4" customFormat="1">
      <c r="A62" s="4">
        <v>164</v>
      </c>
      <c r="B62" s="4" t="s">
        <v>115</v>
      </c>
      <c r="D62" s="4" t="s">
        <v>116</v>
      </c>
      <c r="F62" s="4">
        <v>1384418</v>
      </c>
      <c r="H62" s="4">
        <v>0</v>
      </c>
      <c r="J62" s="4">
        <v>5894210</v>
      </c>
      <c r="L62" s="4">
        <v>337004</v>
      </c>
      <c r="N62" s="4">
        <v>0</v>
      </c>
      <c r="P62" s="4">
        <v>0</v>
      </c>
      <c r="R62" s="4">
        <v>55249</v>
      </c>
      <c r="T62" s="4">
        <v>167634</v>
      </c>
      <c r="V62" s="4">
        <v>22335</v>
      </c>
      <c r="X62" s="4">
        <v>0</v>
      </c>
      <c r="Z62" s="4">
        <v>0</v>
      </c>
      <c r="AB62" s="4">
        <v>41368</v>
      </c>
      <c r="AD62" s="4">
        <v>0</v>
      </c>
      <c r="AF62" s="4">
        <v>0</v>
      </c>
      <c r="AH62" s="4">
        <f>SUM(F62:AD62)</f>
        <v>7902218</v>
      </c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1:65" s="4" customFormat="1">
      <c r="A63" s="4">
        <v>131</v>
      </c>
      <c r="B63" s="4" t="s">
        <v>427</v>
      </c>
      <c r="D63" s="4" t="s">
        <v>19</v>
      </c>
      <c r="F63" s="4">
        <v>4006125</v>
      </c>
      <c r="H63" s="4">
        <v>0</v>
      </c>
      <c r="J63" s="4">
        <v>3607370</v>
      </c>
      <c r="L63" s="4">
        <f>108402</f>
        <v>108402</v>
      </c>
      <c r="N63" s="4">
        <v>18255</v>
      </c>
      <c r="P63" s="4">
        <v>0</v>
      </c>
      <c r="R63" s="4">
        <v>3558</v>
      </c>
      <c r="T63" s="4">
        <v>41820</v>
      </c>
      <c r="V63" s="4">
        <v>1034</v>
      </c>
      <c r="X63" s="4">
        <v>0</v>
      </c>
      <c r="Z63" s="4">
        <v>0</v>
      </c>
      <c r="AB63" s="4">
        <v>0</v>
      </c>
      <c r="AD63" s="4">
        <v>0</v>
      </c>
      <c r="AF63" s="4">
        <v>0</v>
      </c>
      <c r="AH63" s="4">
        <f>SUM(F63:AD63)</f>
        <v>7786564</v>
      </c>
    </row>
    <row r="64" spans="1:65" s="4" customFormat="1">
      <c r="A64" s="4">
        <v>254</v>
      </c>
      <c r="B64" s="4" t="s">
        <v>428</v>
      </c>
      <c r="D64" s="4" t="s">
        <v>19</v>
      </c>
      <c r="F64" s="4">
        <v>27930751</v>
      </c>
      <c r="H64" s="4">
        <v>0</v>
      </c>
      <c r="J64" s="4">
        <v>32692855</v>
      </c>
      <c r="L64" s="4">
        <f>322319+3007800</f>
        <v>3330119</v>
      </c>
      <c r="N64" s="4">
        <v>0</v>
      </c>
      <c r="P64" s="4">
        <v>0</v>
      </c>
      <c r="R64" s="4">
        <v>0</v>
      </c>
      <c r="T64" s="4">
        <v>2123795</v>
      </c>
      <c r="V64" s="4">
        <v>488421</v>
      </c>
      <c r="X64" s="4">
        <v>0</v>
      </c>
      <c r="Z64" s="4">
        <v>0</v>
      </c>
      <c r="AB64" s="4">
        <v>0</v>
      </c>
      <c r="AD64" s="4">
        <v>0</v>
      </c>
      <c r="AF64" s="4">
        <v>0</v>
      </c>
      <c r="AH64" s="4">
        <f>SUM(F64:AD64)</f>
        <v>66565941</v>
      </c>
    </row>
    <row r="65" spans="1:65" s="4" customFormat="1">
      <c r="A65" s="4">
        <v>183</v>
      </c>
      <c r="B65" s="4" t="s">
        <v>117</v>
      </c>
      <c r="D65" s="4" t="s">
        <v>94</v>
      </c>
      <c r="F65" s="35">
        <v>161583</v>
      </c>
      <c r="H65" s="35">
        <v>346671</v>
      </c>
      <c r="J65" s="35">
        <v>60156</v>
      </c>
      <c r="L65" s="35">
        <v>17372</v>
      </c>
      <c r="N65" s="35">
        <v>0</v>
      </c>
      <c r="P65" s="35">
        <v>0</v>
      </c>
      <c r="R65" s="35">
        <v>82973</v>
      </c>
      <c r="T65" s="35">
        <v>15528</v>
      </c>
      <c r="V65" s="35">
        <v>699</v>
      </c>
      <c r="X65" s="35">
        <v>0</v>
      </c>
      <c r="Z65" s="35">
        <v>0</v>
      </c>
      <c r="AB65" s="35">
        <v>0</v>
      </c>
      <c r="AD65" s="35">
        <v>0</v>
      </c>
      <c r="AF65" s="35">
        <v>0</v>
      </c>
      <c r="AH65" s="4">
        <f>SUM(F65:AF65)</f>
        <v>684982</v>
      </c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s="4" customFormat="1">
      <c r="A66" s="4">
        <v>258</v>
      </c>
      <c r="B66" s="4" t="s">
        <v>72</v>
      </c>
      <c r="D66" s="4" t="s">
        <v>50</v>
      </c>
      <c r="F66" s="35">
        <v>0</v>
      </c>
      <c r="H66" s="35">
        <v>252646</v>
      </c>
      <c r="J66" s="35">
        <v>0</v>
      </c>
      <c r="L66" s="35">
        <v>8079</v>
      </c>
      <c r="N66" s="35">
        <v>0</v>
      </c>
      <c r="P66" s="35">
        <v>0</v>
      </c>
      <c r="R66" s="35">
        <v>195</v>
      </c>
      <c r="T66" s="35">
        <v>1915</v>
      </c>
      <c r="V66" s="35">
        <v>2</v>
      </c>
      <c r="X66" s="35">
        <v>1295</v>
      </c>
      <c r="Z66" s="35">
        <v>0</v>
      </c>
      <c r="AB66" s="35">
        <v>0</v>
      </c>
      <c r="AD66" s="35">
        <v>0</v>
      </c>
      <c r="AF66" s="35">
        <v>0</v>
      </c>
      <c r="AH66" s="4">
        <f>SUM(F66:AF66)</f>
        <v>264132</v>
      </c>
    </row>
    <row r="67" spans="1:65" s="4" customFormat="1">
      <c r="A67" s="4">
        <v>71</v>
      </c>
      <c r="B67" s="35" t="s">
        <v>454</v>
      </c>
      <c r="C67" s="35"/>
      <c r="D67" s="35" t="s">
        <v>51</v>
      </c>
      <c r="E67" s="35"/>
      <c r="F67" s="35">
        <v>0</v>
      </c>
      <c r="G67" s="35"/>
      <c r="H67" s="35">
        <v>814978</v>
      </c>
      <c r="I67" s="35"/>
      <c r="J67" s="35">
        <v>0</v>
      </c>
      <c r="K67" s="35"/>
      <c r="L67" s="35">
        <v>36806</v>
      </c>
      <c r="M67" s="35"/>
      <c r="N67" s="35">
        <v>0</v>
      </c>
      <c r="O67" s="35"/>
      <c r="P67" s="35">
        <v>0</v>
      </c>
      <c r="Q67" s="35"/>
      <c r="R67" s="35">
        <v>8079</v>
      </c>
      <c r="S67" s="35"/>
      <c r="T67" s="35">
        <v>8504</v>
      </c>
      <c r="U67" s="35"/>
      <c r="V67" s="35">
        <v>5325</v>
      </c>
      <c r="W67" s="35"/>
      <c r="X67" s="35">
        <v>0</v>
      </c>
      <c r="Y67" s="35"/>
      <c r="Z67" s="35">
        <v>0</v>
      </c>
      <c r="AA67" s="35"/>
      <c r="AB67" s="35">
        <v>0</v>
      </c>
      <c r="AC67" s="35"/>
      <c r="AD67" s="35">
        <v>0</v>
      </c>
      <c r="AE67" s="35"/>
      <c r="AF67" s="35">
        <v>0</v>
      </c>
      <c r="AG67" s="35"/>
      <c r="AH67" s="4">
        <f>SUM(F67:AF67)</f>
        <v>873692</v>
      </c>
    </row>
    <row r="68" spans="1:65" s="4" customFormat="1">
      <c r="A68" s="4">
        <v>260</v>
      </c>
      <c r="B68" s="4" t="s">
        <v>118</v>
      </c>
      <c r="D68" s="4" t="s">
        <v>92</v>
      </c>
      <c r="F68" s="4">
        <v>20943681</v>
      </c>
      <c r="H68" s="4">
        <v>24407689</v>
      </c>
      <c r="J68" s="4">
        <v>15116</v>
      </c>
      <c r="L68" s="4">
        <v>2067899</v>
      </c>
      <c r="N68" s="35">
        <v>0</v>
      </c>
      <c r="P68" s="4">
        <v>739085</v>
      </c>
      <c r="R68" s="4">
        <v>1244</v>
      </c>
      <c r="T68" s="4">
        <v>721839</v>
      </c>
      <c r="V68" s="4">
        <v>485503</v>
      </c>
      <c r="X68" s="35">
        <v>0</v>
      </c>
      <c r="Z68" s="4">
        <v>2168424</v>
      </c>
      <c r="AB68" s="35">
        <v>0</v>
      </c>
      <c r="AD68" s="35">
        <v>0</v>
      </c>
      <c r="AF68" s="35">
        <v>0</v>
      </c>
      <c r="AH68" s="4">
        <f>SUM(F68:AD68)</f>
        <v>51550480</v>
      </c>
    </row>
    <row r="69" spans="1:65" s="4" customFormat="1">
      <c r="A69" s="4">
        <v>175</v>
      </c>
      <c r="B69" s="4" t="s">
        <v>363</v>
      </c>
      <c r="D69" s="4" t="s">
        <v>70</v>
      </c>
      <c r="F69" s="35">
        <v>0</v>
      </c>
      <c r="H69" s="35">
        <v>624379</v>
      </c>
      <c r="J69" s="35">
        <v>0</v>
      </c>
      <c r="L69" s="35">
        <v>21973</v>
      </c>
      <c r="N69" s="35">
        <v>0</v>
      </c>
      <c r="P69" s="35">
        <v>0</v>
      </c>
      <c r="R69" s="35">
        <v>12279</v>
      </c>
      <c r="T69" s="35">
        <v>1269</v>
      </c>
      <c r="V69" s="35">
        <v>441</v>
      </c>
      <c r="X69" s="35">
        <v>0</v>
      </c>
      <c r="Z69" s="35">
        <v>0</v>
      </c>
      <c r="AB69" s="35">
        <v>0</v>
      </c>
      <c r="AD69" s="35">
        <v>0</v>
      </c>
      <c r="AF69" s="35">
        <v>0</v>
      </c>
      <c r="AH69" s="4">
        <f>SUM(F69:AF69)</f>
        <v>660341</v>
      </c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5" s="4" customFormat="1">
      <c r="A70" s="4">
        <v>94</v>
      </c>
      <c r="B70" s="4" t="s">
        <v>119</v>
      </c>
      <c r="D70" s="4" t="s">
        <v>43</v>
      </c>
      <c r="F70" s="4">
        <v>546228</v>
      </c>
      <c r="H70" s="35">
        <v>0</v>
      </c>
      <c r="J70" s="35">
        <v>0</v>
      </c>
      <c r="L70" s="4">
        <v>7206</v>
      </c>
      <c r="N70" s="35">
        <v>0</v>
      </c>
      <c r="P70" s="4">
        <v>300</v>
      </c>
      <c r="R70" s="4">
        <v>3298</v>
      </c>
      <c r="T70" s="4">
        <v>15214</v>
      </c>
      <c r="V70" s="4">
        <v>13512</v>
      </c>
      <c r="X70" s="35">
        <v>0</v>
      </c>
      <c r="Z70" s="4">
        <v>40000</v>
      </c>
      <c r="AB70" s="4">
        <v>28558</v>
      </c>
      <c r="AD70" s="35">
        <v>0</v>
      </c>
      <c r="AF70" s="35">
        <v>0</v>
      </c>
      <c r="AH70" s="4">
        <f>SUM(F70:AD70)</f>
        <v>654316</v>
      </c>
    </row>
    <row r="71" spans="1:65" s="4" customFormat="1">
      <c r="A71" s="4">
        <v>61</v>
      </c>
      <c r="B71" s="4" t="s">
        <v>120</v>
      </c>
      <c r="D71" s="4" t="s">
        <v>121</v>
      </c>
      <c r="F71" s="35">
        <v>0</v>
      </c>
      <c r="H71" s="4">
        <v>1360264</v>
      </c>
      <c r="J71" s="35">
        <v>0</v>
      </c>
      <c r="L71" s="4">
        <v>39892</v>
      </c>
      <c r="N71" s="35">
        <v>0</v>
      </c>
      <c r="P71" s="35">
        <v>0</v>
      </c>
      <c r="R71" s="4">
        <v>13255</v>
      </c>
      <c r="T71" s="4">
        <v>33680</v>
      </c>
      <c r="V71" s="4">
        <v>5897</v>
      </c>
      <c r="X71" s="35">
        <v>0</v>
      </c>
      <c r="Z71" s="35">
        <v>0</v>
      </c>
      <c r="AB71" s="35">
        <v>0</v>
      </c>
      <c r="AD71" s="35">
        <v>0</v>
      </c>
      <c r="AF71" s="35">
        <v>0</v>
      </c>
      <c r="AH71" s="4">
        <f>SUM(F71:AD71)</f>
        <v>1452988</v>
      </c>
    </row>
    <row r="72" spans="1:65" s="4" customFormat="1">
      <c r="A72" s="4">
        <v>30</v>
      </c>
      <c r="B72" s="35" t="s">
        <v>122</v>
      </c>
      <c r="C72" s="35"/>
      <c r="D72" s="35" t="s">
        <v>52</v>
      </c>
      <c r="E72" s="35"/>
      <c r="F72" s="35">
        <v>0</v>
      </c>
      <c r="G72" s="35"/>
      <c r="H72" s="35">
        <v>521569</v>
      </c>
      <c r="I72" s="35"/>
      <c r="J72" s="35">
        <v>0</v>
      </c>
      <c r="K72" s="35"/>
      <c r="L72" s="35">
        <v>13251</v>
      </c>
      <c r="M72" s="35"/>
      <c r="N72" s="35">
        <v>0</v>
      </c>
      <c r="O72" s="35"/>
      <c r="P72" s="35">
        <v>0</v>
      </c>
      <c r="Q72" s="35"/>
      <c r="R72" s="35">
        <v>11230</v>
      </c>
      <c r="S72" s="35"/>
      <c r="T72" s="35">
        <v>79715</v>
      </c>
      <c r="U72" s="35"/>
      <c r="V72" s="35">
        <v>4399</v>
      </c>
      <c r="W72" s="35"/>
      <c r="X72" s="35">
        <v>0</v>
      </c>
      <c r="Y72" s="35"/>
      <c r="Z72" s="35">
        <v>0</v>
      </c>
      <c r="AA72" s="35"/>
      <c r="AB72" s="35">
        <v>0</v>
      </c>
      <c r="AC72" s="35"/>
      <c r="AD72" s="35">
        <v>0</v>
      </c>
      <c r="AE72" s="35"/>
      <c r="AF72" s="35">
        <v>0</v>
      </c>
      <c r="AG72" s="35"/>
      <c r="AH72" s="4">
        <f>SUM(F72:AF72)</f>
        <v>630164</v>
      </c>
    </row>
    <row r="73" spans="1:65" s="4" customFormat="1">
      <c r="A73" s="4">
        <v>252</v>
      </c>
      <c r="B73" s="4" t="s">
        <v>598</v>
      </c>
      <c r="D73" s="4" t="s">
        <v>19</v>
      </c>
      <c r="F73" s="4">
        <v>30159429</v>
      </c>
      <c r="H73" s="4">
        <v>0</v>
      </c>
      <c r="J73" s="4">
        <v>31271647</v>
      </c>
      <c r="L73" s="4">
        <v>673815</v>
      </c>
      <c r="N73" s="4">
        <v>36966</v>
      </c>
      <c r="P73" s="4">
        <v>5952</v>
      </c>
      <c r="R73" s="4">
        <v>8108</v>
      </c>
      <c r="T73" s="4">
        <v>862123</v>
      </c>
      <c r="V73" s="4">
        <f>366411+29934</f>
        <v>396345</v>
      </c>
      <c r="X73" s="4">
        <v>14421</v>
      </c>
      <c r="Z73" s="4">
        <v>0</v>
      </c>
      <c r="AB73" s="4">
        <v>0</v>
      </c>
      <c r="AD73" s="4">
        <v>0</v>
      </c>
      <c r="AF73" s="4">
        <v>0</v>
      </c>
      <c r="AH73" s="4">
        <f>SUM(F73:AD73)</f>
        <v>63428806</v>
      </c>
    </row>
    <row r="74" spans="1:65" s="4" customFormat="1">
      <c r="A74" s="4">
        <v>8</v>
      </c>
      <c r="B74" s="4" t="s">
        <v>124</v>
      </c>
      <c r="D74" s="4" t="s">
        <v>55</v>
      </c>
      <c r="F74" s="4">
        <v>8303677</v>
      </c>
      <c r="H74" s="4">
        <v>0</v>
      </c>
      <c r="J74" s="4">
        <v>20760585</v>
      </c>
      <c r="L74" s="4">
        <v>602424</v>
      </c>
      <c r="N74" s="4">
        <v>0</v>
      </c>
      <c r="P74" s="4">
        <v>123555</v>
      </c>
      <c r="R74" s="4">
        <v>105980</v>
      </c>
      <c r="T74" s="4">
        <v>254730</v>
      </c>
      <c r="V74" s="4">
        <v>149386</v>
      </c>
      <c r="X74" s="4">
        <v>0</v>
      </c>
      <c r="Z74" s="4">
        <v>208</v>
      </c>
      <c r="AB74" s="4">
        <v>0</v>
      </c>
      <c r="AD74" s="4">
        <v>0</v>
      </c>
      <c r="AF74" s="4">
        <v>0</v>
      </c>
      <c r="AH74" s="4">
        <f>SUM(F74:AD74)</f>
        <v>30300545</v>
      </c>
    </row>
    <row r="75" spans="1:65" s="4" customFormat="1">
      <c r="A75" s="4">
        <v>238</v>
      </c>
      <c r="B75" s="4" t="s">
        <v>125</v>
      </c>
      <c r="D75" s="4" t="s">
        <v>126</v>
      </c>
      <c r="F75" s="4">
        <v>518019</v>
      </c>
      <c r="H75" s="4">
        <v>1465422</v>
      </c>
      <c r="J75" s="4">
        <f>12799+1298</f>
        <v>14097</v>
      </c>
      <c r="L75" s="4">
        <v>29941</v>
      </c>
      <c r="N75" s="35">
        <v>0</v>
      </c>
      <c r="P75" s="4">
        <v>447</v>
      </c>
      <c r="R75" s="4">
        <v>10702</v>
      </c>
      <c r="T75" s="4">
        <v>38064</v>
      </c>
      <c r="V75" s="4">
        <v>18659</v>
      </c>
      <c r="X75" s="35">
        <v>0</v>
      </c>
      <c r="Z75" s="35">
        <v>0</v>
      </c>
      <c r="AB75" s="35">
        <v>0</v>
      </c>
      <c r="AD75" s="35">
        <v>0</v>
      </c>
      <c r="AF75" s="35">
        <v>0</v>
      </c>
      <c r="AH75" s="4">
        <f>SUM(F75:AD75)</f>
        <v>2095351</v>
      </c>
    </row>
    <row r="76" spans="1:65" s="4" customFormat="1">
      <c r="A76" s="4">
        <v>82</v>
      </c>
      <c r="B76" s="4" t="s">
        <v>127</v>
      </c>
      <c r="D76" s="4" t="s">
        <v>70</v>
      </c>
      <c r="F76" s="4">
        <v>0</v>
      </c>
      <c r="H76" s="4">
        <v>2027746</v>
      </c>
      <c r="J76" s="4">
        <v>12422</v>
      </c>
      <c r="L76" s="4">
        <v>58256</v>
      </c>
      <c r="N76" s="35">
        <v>0</v>
      </c>
      <c r="P76" s="4">
        <v>0</v>
      </c>
      <c r="R76" s="4">
        <v>10874</v>
      </c>
      <c r="T76" s="4">
        <v>35616</v>
      </c>
      <c r="V76" s="4">
        <v>36574</v>
      </c>
      <c r="X76" s="4">
        <v>0</v>
      </c>
      <c r="Z76" s="4">
        <v>0</v>
      </c>
      <c r="AB76" s="4">
        <v>0</v>
      </c>
      <c r="AD76" s="4">
        <v>0</v>
      </c>
      <c r="AF76" s="4">
        <v>0</v>
      </c>
      <c r="AH76" s="4">
        <f>SUM(F76:AD76)</f>
        <v>2181488</v>
      </c>
    </row>
    <row r="77" spans="1:65" s="4" customFormat="1">
      <c r="A77" s="4">
        <v>41</v>
      </c>
      <c r="B77" s="35" t="s">
        <v>128</v>
      </c>
      <c r="C77" s="35"/>
      <c r="D77" s="35" t="s">
        <v>97</v>
      </c>
      <c r="E77" s="35"/>
      <c r="F77" s="35">
        <v>39474</v>
      </c>
      <c r="G77" s="35"/>
      <c r="H77" s="35">
        <v>433127</v>
      </c>
      <c r="I77" s="35"/>
      <c r="J77" s="35">
        <v>17071</v>
      </c>
      <c r="K77" s="35"/>
      <c r="L77" s="35">
        <v>8189</v>
      </c>
      <c r="M77" s="35"/>
      <c r="N77" s="35">
        <v>0</v>
      </c>
      <c r="O77" s="35"/>
      <c r="P77" s="35">
        <v>0</v>
      </c>
      <c r="Q77" s="35"/>
      <c r="R77" s="35">
        <v>52143</v>
      </c>
      <c r="S77" s="35"/>
      <c r="T77" s="35">
        <v>10181</v>
      </c>
      <c r="U77" s="35"/>
      <c r="V77" s="35">
        <v>4245</v>
      </c>
      <c r="W77" s="35"/>
      <c r="X77" s="35">
        <v>0</v>
      </c>
      <c r="Y77" s="35"/>
      <c r="Z77" s="35">
        <v>0</v>
      </c>
      <c r="AA77" s="35"/>
      <c r="AB77" s="35">
        <v>0</v>
      </c>
      <c r="AC77" s="35"/>
      <c r="AD77" s="35">
        <v>0</v>
      </c>
      <c r="AE77" s="35"/>
      <c r="AF77" s="35">
        <v>0</v>
      </c>
      <c r="AG77" s="35"/>
      <c r="AH77" s="4">
        <f>SUM(F77:AF77)</f>
        <v>564430</v>
      </c>
    </row>
    <row r="78" spans="1:65" s="7" customFormat="1">
      <c r="A78" s="4">
        <v>14</v>
      </c>
      <c r="B78" s="4" t="s">
        <v>129</v>
      </c>
      <c r="C78" s="4"/>
      <c r="D78" s="4" t="s">
        <v>42</v>
      </c>
      <c r="E78" s="4"/>
      <c r="F78" s="35">
        <v>113404</v>
      </c>
      <c r="G78" s="4"/>
      <c r="H78" s="35">
        <v>292620</v>
      </c>
      <c r="I78" s="4"/>
      <c r="J78" s="35">
        <v>29141</v>
      </c>
      <c r="K78" s="4"/>
      <c r="L78" s="35">
        <v>12648</v>
      </c>
      <c r="M78" s="4"/>
      <c r="N78" s="35">
        <v>0</v>
      </c>
      <c r="O78" s="4"/>
      <c r="P78" s="35">
        <v>0</v>
      </c>
      <c r="Q78" s="4"/>
      <c r="R78" s="35">
        <v>12584</v>
      </c>
      <c r="S78" s="4"/>
      <c r="T78" s="35">
        <v>3365</v>
      </c>
      <c r="U78" s="4"/>
      <c r="V78" s="35">
        <v>0</v>
      </c>
      <c r="W78" s="4"/>
      <c r="X78" s="35">
        <v>458</v>
      </c>
      <c r="Y78" s="4"/>
      <c r="Z78" s="35">
        <v>0</v>
      </c>
      <c r="AA78" s="4"/>
      <c r="AB78" s="35">
        <v>0</v>
      </c>
      <c r="AC78" s="4"/>
      <c r="AD78" s="35">
        <v>0</v>
      </c>
      <c r="AE78" s="4"/>
      <c r="AF78" s="35">
        <v>0</v>
      </c>
      <c r="AG78" s="4"/>
      <c r="AH78" s="4">
        <f>SUM(F78:AF78)</f>
        <v>464220</v>
      </c>
    </row>
    <row r="79" spans="1:65" s="4" customFormat="1">
      <c r="A79" s="4">
        <v>256</v>
      </c>
      <c r="B79" s="4" t="s">
        <v>130</v>
      </c>
      <c r="D79" s="4" t="s">
        <v>63</v>
      </c>
      <c r="F79" s="35">
        <v>0</v>
      </c>
      <c r="H79" s="4">
        <v>317454</v>
      </c>
      <c r="J79" s="35">
        <v>0</v>
      </c>
      <c r="L79" s="4">
        <v>10988</v>
      </c>
      <c r="N79" s="35">
        <v>0</v>
      </c>
      <c r="P79" s="35">
        <v>0</v>
      </c>
      <c r="R79" s="4">
        <v>9039</v>
      </c>
      <c r="T79" s="4">
        <v>11214</v>
      </c>
      <c r="V79" s="35">
        <v>0</v>
      </c>
      <c r="X79" s="35">
        <v>0</v>
      </c>
      <c r="Z79" s="35">
        <v>0</v>
      </c>
      <c r="AB79" s="35">
        <v>0</v>
      </c>
      <c r="AD79" s="35">
        <v>0</v>
      </c>
      <c r="AF79" s="35">
        <v>0</v>
      </c>
      <c r="AH79" s="4">
        <f>SUM(F79:AD79)</f>
        <v>348695</v>
      </c>
    </row>
    <row r="80" spans="1:65" s="4" customFormat="1">
      <c r="A80" s="4">
        <v>250</v>
      </c>
      <c r="B80" s="4" t="s">
        <v>131</v>
      </c>
      <c r="D80" s="4" t="s">
        <v>26</v>
      </c>
      <c r="F80" s="35">
        <v>0</v>
      </c>
      <c r="H80" s="4">
        <v>726097</v>
      </c>
      <c r="J80" s="35">
        <v>0</v>
      </c>
      <c r="L80" s="4">
        <v>25657</v>
      </c>
      <c r="N80" s="35">
        <v>0</v>
      </c>
      <c r="P80" s="35">
        <v>0</v>
      </c>
      <c r="R80" s="4">
        <v>10483</v>
      </c>
      <c r="T80" s="4">
        <v>29477</v>
      </c>
      <c r="V80" s="4">
        <v>3828</v>
      </c>
      <c r="X80" s="35">
        <v>0</v>
      </c>
      <c r="Z80" s="35">
        <v>0</v>
      </c>
      <c r="AB80" s="35">
        <v>0</v>
      </c>
      <c r="AD80" s="35">
        <v>0</v>
      </c>
      <c r="AF80" s="35">
        <v>0</v>
      </c>
      <c r="AH80" s="4">
        <f>SUM(F80:AD80)</f>
        <v>795542</v>
      </c>
    </row>
    <row r="81" spans="1:65" s="4" customFormat="1">
      <c r="A81" s="4">
        <v>3</v>
      </c>
      <c r="B81" s="4" t="s">
        <v>302</v>
      </c>
      <c r="D81" s="4" t="s">
        <v>132</v>
      </c>
      <c r="F81" s="35">
        <v>151025</v>
      </c>
      <c r="H81" s="35">
        <v>1167879</v>
      </c>
      <c r="J81" s="35">
        <v>45815</v>
      </c>
      <c r="L81" s="35">
        <v>46399</v>
      </c>
      <c r="N81" s="35">
        <v>0</v>
      </c>
      <c r="P81" s="35">
        <v>0</v>
      </c>
      <c r="R81" s="35">
        <v>3406</v>
      </c>
      <c r="T81" s="35">
        <v>28103</v>
      </c>
      <c r="V81" s="35">
        <v>18739</v>
      </c>
      <c r="X81" s="35">
        <v>12594</v>
      </c>
      <c r="Z81" s="35">
        <v>0</v>
      </c>
      <c r="AB81" s="35">
        <v>0</v>
      </c>
      <c r="AD81" s="35">
        <v>0</v>
      </c>
      <c r="AF81" s="35">
        <v>0</v>
      </c>
      <c r="AH81" s="4">
        <f>SUM(F81:AF81)</f>
        <v>1473960</v>
      </c>
    </row>
    <row r="82" spans="1:65" s="4" customFormat="1">
      <c r="A82" s="4">
        <v>235</v>
      </c>
      <c r="B82" s="4" t="s">
        <v>133</v>
      </c>
      <c r="D82" s="4" t="s">
        <v>87</v>
      </c>
      <c r="F82" s="35">
        <v>0</v>
      </c>
      <c r="H82" s="4">
        <v>62955</v>
      </c>
      <c r="J82" s="4">
        <v>22080</v>
      </c>
      <c r="L82" s="4">
        <v>17</v>
      </c>
      <c r="N82" s="35">
        <v>0</v>
      </c>
      <c r="P82" s="35">
        <v>0</v>
      </c>
      <c r="R82" s="4">
        <v>788</v>
      </c>
      <c r="T82" s="4">
        <v>12481</v>
      </c>
      <c r="V82" s="35">
        <v>0</v>
      </c>
      <c r="X82" s="35">
        <v>0</v>
      </c>
      <c r="Z82" s="35">
        <v>0</v>
      </c>
      <c r="AB82" s="35">
        <v>0</v>
      </c>
      <c r="AD82" s="35">
        <v>0</v>
      </c>
      <c r="AF82" s="35">
        <v>0</v>
      </c>
      <c r="AH82" s="4">
        <f>SUM(F82:AD82)</f>
        <v>98321</v>
      </c>
    </row>
    <row r="83" spans="1:65" s="4" customFormat="1">
      <c r="A83" s="4">
        <v>123</v>
      </c>
      <c r="B83" s="35" t="s">
        <v>456</v>
      </c>
      <c r="C83" s="35"/>
      <c r="D83" s="35" t="s">
        <v>19</v>
      </c>
      <c r="E83" s="35"/>
      <c r="F83" s="35">
        <v>1436134</v>
      </c>
      <c r="G83" s="35"/>
      <c r="H83" s="35">
        <v>1770496</v>
      </c>
      <c r="I83" s="35"/>
      <c r="J83" s="35">
        <v>0</v>
      </c>
      <c r="K83" s="35"/>
      <c r="L83" s="35">
        <v>4491</v>
      </c>
      <c r="M83" s="35"/>
      <c r="N83" s="35">
        <v>0</v>
      </c>
      <c r="O83" s="35"/>
      <c r="P83" s="35">
        <v>0</v>
      </c>
      <c r="Q83" s="35"/>
      <c r="R83" s="35">
        <v>164113</v>
      </c>
      <c r="S83" s="35"/>
      <c r="T83" s="35">
        <v>8246</v>
      </c>
      <c r="U83" s="35"/>
      <c r="V83" s="35">
        <v>20620</v>
      </c>
      <c r="W83" s="35"/>
      <c r="X83" s="35">
        <v>0</v>
      </c>
      <c r="Y83" s="35"/>
      <c r="Z83" s="35">
        <v>0</v>
      </c>
      <c r="AA83" s="35"/>
      <c r="AB83" s="35">
        <v>0</v>
      </c>
      <c r="AC83" s="35"/>
      <c r="AD83" s="35">
        <v>0</v>
      </c>
      <c r="AE83" s="35"/>
      <c r="AF83" s="35">
        <v>0</v>
      </c>
      <c r="AG83" s="35"/>
      <c r="AH83" s="4">
        <f>SUM(F83:AF83)</f>
        <v>3404100</v>
      </c>
    </row>
    <row r="84" spans="1:65" s="4" customFormat="1">
      <c r="A84" s="4">
        <v>148</v>
      </c>
      <c r="B84" s="4" t="s">
        <v>569</v>
      </c>
      <c r="D84" s="4" t="s">
        <v>51</v>
      </c>
      <c r="F84" s="35">
        <v>0</v>
      </c>
      <c r="H84" s="4">
        <v>723960</v>
      </c>
      <c r="J84" s="35">
        <v>0</v>
      </c>
      <c r="L84" s="4">
        <v>8373</v>
      </c>
      <c r="N84" s="35">
        <v>0</v>
      </c>
      <c r="P84" s="35">
        <v>0</v>
      </c>
      <c r="R84" s="4">
        <v>1947</v>
      </c>
      <c r="T84" s="4">
        <v>17668</v>
      </c>
      <c r="V84" s="4">
        <v>35460</v>
      </c>
      <c r="X84" s="35">
        <v>0</v>
      </c>
      <c r="Z84" s="35">
        <v>0</v>
      </c>
      <c r="AB84" s="35">
        <v>0</v>
      </c>
      <c r="AD84" s="35">
        <v>0</v>
      </c>
      <c r="AF84" s="35">
        <v>0</v>
      </c>
      <c r="AH84" s="4">
        <f>SUM(F84:AD84)</f>
        <v>787408</v>
      </c>
    </row>
    <row r="85" spans="1:65" s="4" customFormat="1">
      <c r="N85" s="35"/>
      <c r="P85" s="35"/>
      <c r="R85" s="35"/>
      <c r="X85" s="35"/>
      <c r="Z85" s="35"/>
      <c r="AB85" s="35"/>
      <c r="AD85" s="35"/>
      <c r="AF85" s="3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s="4" customFormat="1">
      <c r="N86" s="35"/>
      <c r="P86" s="35"/>
      <c r="R86" s="35"/>
      <c r="X86" s="35"/>
      <c r="Z86" s="35"/>
      <c r="AB86" s="35"/>
      <c r="AD86" s="35"/>
      <c r="AF86" s="35"/>
      <c r="AH86" s="47" t="s">
        <v>593</v>
      </c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>
      <c r="B87" s="3" t="s">
        <v>523</v>
      </c>
    </row>
    <row r="88" spans="1:65">
      <c r="B88" s="3" t="s">
        <v>527</v>
      </c>
    </row>
    <row r="89" spans="1:65">
      <c r="B89" s="41" t="s">
        <v>7</v>
      </c>
    </row>
    <row r="90" spans="1:65" s="36" customFormat="1">
      <c r="H90" s="36" t="s">
        <v>282</v>
      </c>
    </row>
    <row r="91" spans="1:65" s="36" customFormat="1">
      <c r="F91" s="36" t="s">
        <v>31</v>
      </c>
      <c r="H91" s="36" t="s">
        <v>283</v>
      </c>
      <c r="P91" s="36" t="s">
        <v>29</v>
      </c>
      <c r="R91" s="36" t="s">
        <v>289</v>
      </c>
      <c r="X91" s="36" t="s">
        <v>294</v>
      </c>
      <c r="AD91" s="36" t="s">
        <v>0</v>
      </c>
    </row>
    <row r="92" spans="1:65" s="36" customFormat="1" ht="12" customHeight="1">
      <c r="F92" s="36" t="s">
        <v>0</v>
      </c>
      <c r="H92" s="36" t="s">
        <v>284</v>
      </c>
      <c r="J92" s="36" t="s">
        <v>348</v>
      </c>
      <c r="L92" s="36" t="s">
        <v>286</v>
      </c>
      <c r="P92" s="36" t="s">
        <v>288</v>
      </c>
      <c r="R92" s="36" t="s">
        <v>290</v>
      </c>
      <c r="T92" s="36" t="s">
        <v>292</v>
      </c>
      <c r="X92" s="36" t="s">
        <v>295</v>
      </c>
      <c r="AD92" s="36" t="s">
        <v>296</v>
      </c>
      <c r="AF92" s="36" t="s">
        <v>564</v>
      </c>
    </row>
    <row r="93" spans="1:65" s="36" customFormat="1" ht="12" customHeight="1">
      <c r="A93" s="36" t="s">
        <v>580</v>
      </c>
      <c r="B93" s="37" t="s">
        <v>5</v>
      </c>
      <c r="D93" s="37" t="s">
        <v>6</v>
      </c>
      <c r="F93" s="37" t="s">
        <v>281</v>
      </c>
      <c r="H93" s="37" t="s">
        <v>285</v>
      </c>
      <c r="J93" s="37" t="s">
        <v>349</v>
      </c>
      <c r="L93" s="37" t="s">
        <v>287</v>
      </c>
      <c r="N93" s="37" t="s">
        <v>560</v>
      </c>
      <c r="P93" s="37" t="s">
        <v>562</v>
      </c>
      <c r="R93" s="37" t="s">
        <v>291</v>
      </c>
      <c r="T93" s="37" t="s">
        <v>293</v>
      </c>
      <c r="V93" s="37" t="s">
        <v>1</v>
      </c>
      <c r="X93" s="37" t="s">
        <v>32</v>
      </c>
      <c r="Z93" s="37" t="s">
        <v>509</v>
      </c>
      <c r="AB93" s="37" t="s">
        <v>510</v>
      </c>
      <c r="AD93" s="37" t="s">
        <v>297</v>
      </c>
      <c r="AF93" s="37" t="s">
        <v>424</v>
      </c>
      <c r="AH93" s="49" t="s">
        <v>28</v>
      </c>
    </row>
    <row r="94" spans="1:65" s="4" customFormat="1">
      <c r="A94" s="4">
        <v>151.1</v>
      </c>
      <c r="B94" s="38" t="s">
        <v>134</v>
      </c>
      <c r="C94" s="38"/>
      <c r="D94" s="38" t="s">
        <v>51</v>
      </c>
      <c r="E94" s="38"/>
      <c r="F94" s="38">
        <v>0</v>
      </c>
      <c r="G94" s="38"/>
      <c r="H94" s="38">
        <v>435362</v>
      </c>
      <c r="I94" s="38"/>
      <c r="J94" s="38">
        <v>0</v>
      </c>
      <c r="K94" s="38"/>
      <c r="L94" s="38">
        <v>16307</v>
      </c>
      <c r="M94" s="38"/>
      <c r="N94" s="38">
        <v>0</v>
      </c>
      <c r="O94" s="38"/>
      <c r="P94" s="38">
        <v>0</v>
      </c>
      <c r="Q94" s="38"/>
      <c r="R94" s="38">
        <v>3505</v>
      </c>
      <c r="S94" s="38"/>
      <c r="T94" s="38">
        <v>13329</v>
      </c>
      <c r="U94" s="38"/>
      <c r="V94" s="38">
        <v>0</v>
      </c>
      <c r="W94" s="38"/>
      <c r="X94" s="38">
        <v>0</v>
      </c>
      <c r="Y94" s="38"/>
      <c r="Z94" s="38">
        <v>0</v>
      </c>
      <c r="AA94" s="38"/>
      <c r="AB94" s="38">
        <v>0</v>
      </c>
      <c r="AC94" s="38"/>
      <c r="AD94" s="38">
        <v>2053</v>
      </c>
      <c r="AE94" s="38"/>
      <c r="AF94" s="38">
        <v>0</v>
      </c>
      <c r="AG94" s="38"/>
      <c r="AH94" s="7">
        <f>SUM(F94:AF94)</f>
        <v>470556</v>
      </c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s="4" customFormat="1">
      <c r="A95" s="4">
        <v>86</v>
      </c>
      <c r="B95" s="4" t="s">
        <v>429</v>
      </c>
      <c r="D95" s="4" t="s">
        <v>20</v>
      </c>
      <c r="F95" s="4">
        <f>1060010+917821</f>
        <v>1977831</v>
      </c>
      <c r="H95" s="4">
        <v>0</v>
      </c>
      <c r="J95" s="4">
        <v>141256</v>
      </c>
      <c r="L95" s="4">
        <v>53898</v>
      </c>
      <c r="N95" s="35">
        <v>0</v>
      </c>
      <c r="P95" s="4">
        <v>0</v>
      </c>
      <c r="R95" s="4">
        <v>15418</v>
      </c>
      <c r="T95" s="4">
        <v>70857</v>
      </c>
      <c r="V95" s="4">
        <v>3943</v>
      </c>
      <c r="X95" s="4">
        <v>0</v>
      </c>
      <c r="Z95" s="4">
        <v>94622</v>
      </c>
      <c r="AB95" s="4">
        <v>0</v>
      </c>
      <c r="AD95" s="4">
        <v>0</v>
      </c>
      <c r="AF95" s="4">
        <v>0</v>
      </c>
      <c r="AH95" s="4">
        <f>SUM(F95:AD95)</f>
        <v>2357825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s="4" customFormat="1">
      <c r="A96" s="4">
        <v>87</v>
      </c>
      <c r="B96" s="4" t="s">
        <v>135</v>
      </c>
      <c r="D96" s="4" t="s">
        <v>57</v>
      </c>
      <c r="F96" s="4">
        <v>1000407</v>
      </c>
      <c r="H96" s="4">
        <v>2487443</v>
      </c>
      <c r="J96" s="35">
        <v>0</v>
      </c>
      <c r="L96" s="4">
        <v>103732</v>
      </c>
      <c r="N96" s="35">
        <v>0</v>
      </c>
      <c r="P96" s="35">
        <v>0</v>
      </c>
      <c r="R96" s="4">
        <v>40152</v>
      </c>
      <c r="T96" s="4">
        <v>55397</v>
      </c>
      <c r="V96" s="4">
        <v>1182</v>
      </c>
      <c r="X96" s="35">
        <v>0</v>
      </c>
      <c r="Z96" s="4">
        <v>430000</v>
      </c>
      <c r="AB96" s="35">
        <v>0</v>
      </c>
      <c r="AD96" s="35">
        <v>0</v>
      </c>
      <c r="AF96" s="35">
        <v>0</v>
      </c>
      <c r="AH96" s="4">
        <f>SUM(F96:AD96)</f>
        <v>4118313</v>
      </c>
    </row>
    <row r="97" spans="1:65" s="4" customFormat="1">
      <c r="A97" s="4">
        <v>13</v>
      </c>
      <c r="B97" s="4" t="s">
        <v>18</v>
      </c>
      <c r="D97" s="4" t="s">
        <v>19</v>
      </c>
      <c r="F97" s="4">
        <v>2932336</v>
      </c>
      <c r="H97" s="4">
        <v>0</v>
      </c>
      <c r="J97" s="4">
        <f>2123402+850</f>
        <v>2124252</v>
      </c>
      <c r="L97" s="4">
        <v>112991</v>
      </c>
      <c r="N97" s="35">
        <v>0</v>
      </c>
      <c r="P97" s="4">
        <v>0</v>
      </c>
      <c r="R97" s="4">
        <v>925</v>
      </c>
      <c r="T97" s="4">
        <v>163137</v>
      </c>
      <c r="V97" s="4">
        <v>19176</v>
      </c>
      <c r="X97" s="4">
        <v>0</v>
      </c>
      <c r="Z97" s="4">
        <v>0</v>
      </c>
      <c r="AB97" s="4">
        <v>0</v>
      </c>
      <c r="AD97" s="35">
        <v>0</v>
      </c>
      <c r="AF97" s="4">
        <v>0</v>
      </c>
      <c r="AH97" s="4">
        <f>SUM(F97:AD97)</f>
        <v>5352817</v>
      </c>
    </row>
    <row r="98" spans="1:65" s="4" customFormat="1">
      <c r="A98" s="4">
        <v>83</v>
      </c>
      <c r="B98" s="35" t="s">
        <v>136</v>
      </c>
      <c r="C98" s="35"/>
      <c r="D98" s="35" t="s">
        <v>42</v>
      </c>
      <c r="E98" s="35"/>
      <c r="F98" s="35">
        <v>0</v>
      </c>
      <c r="G98" s="35"/>
      <c r="H98" s="35">
        <v>293467</v>
      </c>
      <c r="I98" s="35"/>
      <c r="J98" s="35">
        <v>0</v>
      </c>
      <c r="K98" s="35"/>
      <c r="L98" s="35">
        <v>8888</v>
      </c>
      <c r="M98" s="35"/>
      <c r="N98" s="35">
        <v>0</v>
      </c>
      <c r="O98" s="35"/>
      <c r="P98" s="35">
        <v>0</v>
      </c>
      <c r="Q98" s="35"/>
      <c r="R98" s="35">
        <v>2971</v>
      </c>
      <c r="S98" s="35"/>
      <c r="T98" s="35">
        <v>1235</v>
      </c>
      <c r="U98" s="35"/>
      <c r="V98" s="35">
        <v>6919</v>
      </c>
      <c r="W98" s="35"/>
      <c r="X98" s="35">
        <v>0</v>
      </c>
      <c r="Y98" s="35"/>
      <c r="Z98" s="35">
        <v>0</v>
      </c>
      <c r="AA98" s="35"/>
      <c r="AB98" s="35">
        <v>0</v>
      </c>
      <c r="AC98" s="35"/>
      <c r="AD98" s="35">
        <v>0</v>
      </c>
      <c r="AE98" s="35"/>
      <c r="AF98" s="35">
        <v>0</v>
      </c>
      <c r="AG98" s="35"/>
      <c r="AH98" s="4">
        <f>SUM(F98:AF98)</f>
        <v>313480</v>
      </c>
    </row>
    <row r="99" spans="1:65" s="4" customFormat="1">
      <c r="A99" s="4">
        <v>231</v>
      </c>
      <c r="B99" s="4" t="s">
        <v>437</v>
      </c>
      <c r="D99" s="4" t="s">
        <v>67</v>
      </c>
      <c r="F99" s="4">
        <v>911113</v>
      </c>
      <c r="H99" s="4">
        <v>2808661</v>
      </c>
      <c r="J99" s="4">
        <v>1687</v>
      </c>
      <c r="L99" s="4">
        <v>172661</v>
      </c>
      <c r="N99" s="35">
        <v>0</v>
      </c>
      <c r="P99" s="35">
        <v>0</v>
      </c>
      <c r="R99" s="35">
        <v>0</v>
      </c>
      <c r="T99" s="4">
        <v>21480</v>
      </c>
      <c r="V99" s="4">
        <v>1973</v>
      </c>
      <c r="X99" s="35">
        <v>0</v>
      </c>
      <c r="Z99" s="35">
        <v>0</v>
      </c>
      <c r="AB99" s="35">
        <v>0</v>
      </c>
      <c r="AD99" s="35">
        <v>0</v>
      </c>
      <c r="AF99" s="35">
        <v>0</v>
      </c>
      <c r="AH99" s="4">
        <f>SUM(F99:AD99)</f>
        <v>3917575</v>
      </c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s="4" customFormat="1">
      <c r="A100" s="4">
        <v>40</v>
      </c>
      <c r="B100" s="7" t="s">
        <v>137</v>
      </c>
      <c r="C100" s="7"/>
      <c r="D100" s="7" t="s">
        <v>15</v>
      </c>
      <c r="E100" s="7"/>
      <c r="F100" s="4">
        <v>119728</v>
      </c>
      <c r="H100" s="4">
        <v>285472</v>
      </c>
      <c r="J100" s="35">
        <v>0</v>
      </c>
      <c r="L100" s="4">
        <v>2538</v>
      </c>
      <c r="N100" s="35">
        <v>0</v>
      </c>
      <c r="P100" s="35">
        <v>0</v>
      </c>
      <c r="R100" s="4">
        <v>8186</v>
      </c>
      <c r="T100" s="4">
        <v>5130</v>
      </c>
      <c r="V100" s="4">
        <v>4764</v>
      </c>
      <c r="X100" s="35">
        <v>0</v>
      </c>
      <c r="Z100" s="35">
        <v>0</v>
      </c>
      <c r="AB100" s="35">
        <v>0</v>
      </c>
      <c r="AD100" s="35">
        <v>0</v>
      </c>
      <c r="AF100" s="35">
        <v>0</v>
      </c>
      <c r="AH100" s="4">
        <f>SUM(F100:AD100)</f>
        <v>425818</v>
      </c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 spans="1:65" s="4" customFormat="1">
      <c r="A101" s="4">
        <v>179</v>
      </c>
      <c r="B101" s="4" t="s">
        <v>599</v>
      </c>
      <c r="D101" s="4" t="s">
        <v>139</v>
      </c>
      <c r="F101" s="35">
        <v>0</v>
      </c>
      <c r="H101" s="35">
        <v>2472731</v>
      </c>
      <c r="J101" s="35">
        <v>0</v>
      </c>
      <c r="L101" s="35">
        <v>90867</v>
      </c>
      <c r="N101" s="35">
        <v>0</v>
      </c>
      <c r="P101" s="35">
        <v>0</v>
      </c>
      <c r="R101" s="35">
        <v>14021</v>
      </c>
      <c r="T101" s="35">
        <v>57706</v>
      </c>
      <c r="V101" s="35">
        <v>678663</v>
      </c>
      <c r="X101" s="35">
        <v>0</v>
      </c>
      <c r="Z101" s="35">
        <v>214706</v>
      </c>
      <c r="AB101" s="35">
        <v>0</v>
      </c>
      <c r="AD101" s="35">
        <v>0</v>
      </c>
      <c r="AF101" s="35">
        <v>0</v>
      </c>
      <c r="AH101" s="4">
        <f>SUM(F101:AF101)</f>
        <v>3528694</v>
      </c>
    </row>
    <row r="102" spans="1:65" s="4" customFormat="1">
      <c r="A102" s="4">
        <v>165</v>
      </c>
      <c r="B102" s="4" t="s">
        <v>140</v>
      </c>
      <c r="D102" s="4" t="s">
        <v>61</v>
      </c>
      <c r="F102" s="35">
        <v>0</v>
      </c>
      <c r="H102" s="35">
        <v>109412</v>
      </c>
      <c r="J102" s="35">
        <v>1500</v>
      </c>
      <c r="L102" s="35">
        <v>2478</v>
      </c>
      <c r="N102" s="35">
        <v>0</v>
      </c>
      <c r="P102" s="35">
        <v>0</v>
      </c>
      <c r="R102" s="35">
        <v>5090</v>
      </c>
      <c r="T102" s="35">
        <v>803</v>
      </c>
      <c r="V102" s="35">
        <v>1498</v>
      </c>
      <c r="X102" s="35">
        <v>0</v>
      </c>
      <c r="Z102" s="35">
        <v>0</v>
      </c>
      <c r="AB102" s="35">
        <v>0</v>
      </c>
      <c r="AD102" s="35">
        <v>0</v>
      </c>
      <c r="AF102" s="35">
        <v>0</v>
      </c>
      <c r="AH102" s="4">
        <f>SUM(F102:AF102)</f>
        <v>120781</v>
      </c>
    </row>
    <row r="103" spans="1:65" s="4" customFormat="1">
      <c r="A103" s="4">
        <v>44</v>
      </c>
      <c r="B103" s="4" t="s">
        <v>141</v>
      </c>
      <c r="D103" s="4" t="s">
        <v>50</v>
      </c>
      <c r="F103" s="35">
        <v>0</v>
      </c>
      <c r="H103" s="4">
        <v>110401</v>
      </c>
      <c r="J103" s="35">
        <v>0</v>
      </c>
      <c r="L103" s="4">
        <v>2541</v>
      </c>
      <c r="N103" s="35">
        <v>0</v>
      </c>
      <c r="P103" s="35">
        <v>0</v>
      </c>
      <c r="R103" s="4">
        <v>7046</v>
      </c>
      <c r="T103" s="4">
        <v>208</v>
      </c>
      <c r="V103" s="4">
        <v>1023</v>
      </c>
      <c r="X103" s="35">
        <v>0</v>
      </c>
      <c r="Z103" s="35">
        <v>0</v>
      </c>
      <c r="AB103" s="35">
        <v>0</v>
      </c>
      <c r="AD103" s="35">
        <v>0</v>
      </c>
      <c r="AF103" s="35">
        <v>0</v>
      </c>
      <c r="AH103" s="4">
        <f>SUM(F103:AD103)</f>
        <v>121219</v>
      </c>
    </row>
    <row r="104" spans="1:65" s="7" customFormat="1">
      <c r="A104" s="4">
        <v>223</v>
      </c>
      <c r="B104" s="4" t="s">
        <v>142</v>
      </c>
      <c r="C104" s="4"/>
      <c r="D104" s="4" t="s">
        <v>54</v>
      </c>
      <c r="E104" s="4"/>
      <c r="F104" s="35">
        <v>0</v>
      </c>
      <c r="G104" s="4"/>
      <c r="H104" s="35">
        <v>1299028</v>
      </c>
      <c r="I104" s="4"/>
      <c r="J104" s="35">
        <v>0</v>
      </c>
      <c r="K104" s="4"/>
      <c r="L104" s="35">
        <v>54224</v>
      </c>
      <c r="M104" s="4"/>
      <c r="N104" s="35">
        <v>0</v>
      </c>
      <c r="O104" s="4"/>
      <c r="P104" s="35">
        <v>0</v>
      </c>
      <c r="Q104" s="4"/>
      <c r="R104" s="35">
        <v>111922</v>
      </c>
      <c r="S104" s="4"/>
      <c r="T104" s="35">
        <v>7135</v>
      </c>
      <c r="U104" s="4"/>
      <c r="V104" s="35">
        <v>253</v>
      </c>
      <c r="W104" s="4"/>
      <c r="X104" s="35">
        <v>0</v>
      </c>
      <c r="Y104" s="4"/>
      <c r="Z104" s="35">
        <v>150000</v>
      </c>
      <c r="AA104" s="4"/>
      <c r="AB104" s="35">
        <v>0</v>
      </c>
      <c r="AC104" s="4"/>
      <c r="AD104" s="35">
        <v>0</v>
      </c>
      <c r="AE104" s="4"/>
      <c r="AF104" s="35">
        <v>0</v>
      </c>
      <c r="AG104" s="4"/>
      <c r="AH104" s="4">
        <f>SUM(F104:AF104)</f>
        <v>1622562</v>
      </c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</row>
    <row r="105" spans="1:65" s="4" customFormat="1">
      <c r="A105" s="4">
        <v>35</v>
      </c>
      <c r="B105" s="35" t="s">
        <v>143</v>
      </c>
      <c r="C105" s="35"/>
      <c r="D105" s="35" t="s">
        <v>52</v>
      </c>
      <c r="E105" s="35"/>
      <c r="F105" s="35">
        <v>0</v>
      </c>
      <c r="G105" s="35"/>
      <c r="H105" s="35">
        <v>629480</v>
      </c>
      <c r="I105" s="35"/>
      <c r="J105" s="35">
        <v>0</v>
      </c>
      <c r="K105" s="35"/>
      <c r="L105" s="35">
        <v>21852</v>
      </c>
      <c r="M105" s="35"/>
      <c r="N105" s="35">
        <v>0</v>
      </c>
      <c r="O105" s="35"/>
      <c r="P105" s="35">
        <v>76</v>
      </c>
      <c r="Q105" s="35"/>
      <c r="R105" s="35">
        <v>8637</v>
      </c>
      <c r="S105" s="35"/>
      <c r="T105" s="35">
        <v>73041</v>
      </c>
      <c r="U105" s="35"/>
      <c r="V105" s="35">
        <v>410</v>
      </c>
      <c r="W105" s="35"/>
      <c r="X105" s="35">
        <v>0</v>
      </c>
      <c r="Y105" s="35"/>
      <c r="Z105" s="35">
        <v>0</v>
      </c>
      <c r="AA105" s="35"/>
      <c r="AB105" s="35">
        <v>0</v>
      </c>
      <c r="AC105" s="35"/>
      <c r="AD105" s="35">
        <v>0</v>
      </c>
      <c r="AE105" s="35"/>
      <c r="AF105" s="35">
        <v>0</v>
      </c>
      <c r="AG105" s="35"/>
      <c r="AH105" s="4">
        <f>SUM(F105:AF105)</f>
        <v>733496</v>
      </c>
    </row>
    <row r="106" spans="1:65" s="4" customFormat="1">
      <c r="A106" s="4">
        <v>219</v>
      </c>
      <c r="B106" s="4" t="s">
        <v>303</v>
      </c>
      <c r="D106" s="4" t="s">
        <v>145</v>
      </c>
      <c r="F106" s="35">
        <v>0</v>
      </c>
      <c r="H106" s="4">
        <v>953010</v>
      </c>
      <c r="J106" s="35">
        <v>0</v>
      </c>
      <c r="L106" s="4">
        <v>31856</v>
      </c>
      <c r="N106" s="35">
        <v>0</v>
      </c>
      <c r="P106" s="35">
        <v>0</v>
      </c>
      <c r="R106" s="4">
        <v>5976</v>
      </c>
      <c r="T106" s="4">
        <v>12197</v>
      </c>
      <c r="V106" s="4">
        <v>23168</v>
      </c>
      <c r="X106" s="35">
        <v>0</v>
      </c>
      <c r="Z106" s="35">
        <v>0</v>
      </c>
      <c r="AB106" s="35">
        <v>0</v>
      </c>
      <c r="AD106" s="35">
        <v>0</v>
      </c>
      <c r="AF106" s="35">
        <v>0</v>
      </c>
      <c r="AH106" s="4">
        <f>SUM(F106:AD106)</f>
        <v>1026207</v>
      </c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s="4" customFormat="1">
      <c r="A107" s="4">
        <v>119</v>
      </c>
      <c r="B107" s="4" t="s">
        <v>146</v>
      </c>
      <c r="D107" s="4" t="s">
        <v>17</v>
      </c>
      <c r="F107" s="4">
        <v>2491597</v>
      </c>
      <c r="H107" s="4">
        <v>3245481</v>
      </c>
      <c r="J107" s="4">
        <v>461798</v>
      </c>
      <c r="L107" s="4">
        <v>153719</v>
      </c>
      <c r="N107" s="35">
        <v>0</v>
      </c>
      <c r="P107" s="4">
        <v>25325</v>
      </c>
      <c r="R107" s="4">
        <v>23222</v>
      </c>
      <c r="T107" s="4">
        <v>35417</v>
      </c>
      <c r="V107" s="4">
        <v>15984</v>
      </c>
      <c r="X107" s="35">
        <v>0</v>
      </c>
      <c r="Z107" s="35">
        <v>0</v>
      </c>
      <c r="AB107" s="35">
        <v>0</v>
      </c>
      <c r="AD107" s="35">
        <v>0</v>
      </c>
      <c r="AF107" s="35">
        <v>0</v>
      </c>
      <c r="AH107" s="4">
        <f>SUM(F107:AD107)</f>
        <v>6452543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s="4" customFormat="1">
      <c r="A108" s="4">
        <v>181</v>
      </c>
      <c r="B108" s="35" t="s">
        <v>147</v>
      </c>
      <c r="C108" s="35"/>
      <c r="D108" s="35" t="s">
        <v>55</v>
      </c>
      <c r="E108" s="35"/>
      <c r="F108" s="35">
        <v>0</v>
      </c>
      <c r="G108" s="35"/>
      <c r="H108" s="35">
        <v>749784</v>
      </c>
      <c r="I108" s="35"/>
      <c r="J108" s="35">
        <v>0</v>
      </c>
      <c r="K108" s="35"/>
      <c r="L108" s="35">
        <v>14086</v>
      </c>
      <c r="M108" s="35"/>
      <c r="N108" s="35">
        <v>0</v>
      </c>
      <c r="O108" s="35"/>
      <c r="P108" s="35">
        <v>0</v>
      </c>
      <c r="Q108" s="35"/>
      <c r="R108" s="35">
        <v>5700</v>
      </c>
      <c r="S108" s="35"/>
      <c r="T108" s="35">
        <v>9554</v>
      </c>
      <c r="U108" s="35"/>
      <c r="V108" s="35">
        <v>2892</v>
      </c>
      <c r="W108" s="35"/>
      <c r="X108" s="35">
        <v>0</v>
      </c>
      <c r="Y108" s="35"/>
      <c r="Z108" s="35">
        <v>0</v>
      </c>
      <c r="AA108" s="35"/>
      <c r="AB108" s="35">
        <v>0</v>
      </c>
      <c r="AC108" s="35"/>
      <c r="AD108" s="35">
        <v>0</v>
      </c>
      <c r="AE108" s="35"/>
      <c r="AF108" s="35">
        <v>0</v>
      </c>
      <c r="AG108" s="35"/>
      <c r="AH108" s="4">
        <f>SUM(F108:AF108)</f>
        <v>782016</v>
      </c>
    </row>
    <row r="109" spans="1:65" s="4" customFormat="1">
      <c r="A109" s="4">
        <v>115</v>
      </c>
      <c r="B109" s="4" t="s">
        <v>34</v>
      </c>
      <c r="D109" s="4" t="s">
        <v>56</v>
      </c>
      <c r="F109" s="35">
        <v>0</v>
      </c>
      <c r="H109" s="35">
        <v>0</v>
      </c>
      <c r="J109" s="35">
        <v>808222</v>
      </c>
      <c r="L109" s="35">
        <v>11102</v>
      </c>
      <c r="N109" s="35">
        <v>0</v>
      </c>
      <c r="P109" s="35">
        <v>0</v>
      </c>
      <c r="R109" s="35">
        <v>5535</v>
      </c>
      <c r="T109" s="35">
        <v>25373</v>
      </c>
      <c r="V109" s="35">
        <v>5308</v>
      </c>
      <c r="X109" s="35">
        <v>0</v>
      </c>
      <c r="Z109" s="35">
        <v>0</v>
      </c>
      <c r="AB109" s="35">
        <v>0</v>
      </c>
      <c r="AD109" s="35">
        <v>0</v>
      </c>
      <c r="AF109" s="35">
        <v>0</v>
      </c>
      <c r="AH109" s="4">
        <f>SUM(F109:AF109)</f>
        <v>855540</v>
      </c>
    </row>
    <row r="110" spans="1:65" s="4" customFormat="1">
      <c r="A110" s="4">
        <v>19</v>
      </c>
      <c r="B110" s="4" t="s">
        <v>148</v>
      </c>
      <c r="D110" s="4" t="s">
        <v>57</v>
      </c>
      <c r="F110" s="35">
        <v>0</v>
      </c>
      <c r="H110" s="35">
        <v>595831</v>
      </c>
      <c r="J110" s="35">
        <v>0</v>
      </c>
      <c r="L110" s="35">
        <v>22154</v>
      </c>
      <c r="N110" s="35">
        <v>0</v>
      </c>
      <c r="P110" s="35">
        <v>0</v>
      </c>
      <c r="R110" s="35">
        <v>2199</v>
      </c>
      <c r="T110" s="35">
        <v>1261</v>
      </c>
      <c r="V110" s="35">
        <v>3056</v>
      </c>
      <c r="X110" s="35">
        <v>0</v>
      </c>
      <c r="Z110" s="35">
        <v>0</v>
      </c>
      <c r="AB110" s="35">
        <v>0</v>
      </c>
      <c r="AD110" s="35">
        <v>0</v>
      </c>
      <c r="AF110" s="35">
        <v>0</v>
      </c>
      <c r="AH110" s="4">
        <f>SUM(F110:AF110)</f>
        <v>624501</v>
      </c>
    </row>
    <row r="111" spans="1:65" s="4" customFormat="1">
      <c r="A111" s="4">
        <v>22</v>
      </c>
      <c r="B111" s="35" t="s">
        <v>304</v>
      </c>
      <c r="C111" s="35"/>
      <c r="D111" s="35" t="s">
        <v>43</v>
      </c>
      <c r="E111" s="35"/>
      <c r="F111" s="35">
        <v>0</v>
      </c>
      <c r="G111" s="35"/>
      <c r="H111" s="35">
        <v>181659</v>
      </c>
      <c r="I111" s="35"/>
      <c r="J111" s="35">
        <v>0</v>
      </c>
      <c r="K111" s="35"/>
      <c r="L111" s="35">
        <v>13757</v>
      </c>
      <c r="M111" s="35"/>
      <c r="N111" s="35">
        <v>0</v>
      </c>
      <c r="O111" s="35"/>
      <c r="P111" s="35">
        <v>0</v>
      </c>
      <c r="Q111" s="35"/>
      <c r="R111" s="35">
        <v>2249</v>
      </c>
      <c r="S111" s="35"/>
      <c r="T111" s="35">
        <v>13218</v>
      </c>
      <c r="U111" s="35"/>
      <c r="V111" s="35">
        <v>11340</v>
      </c>
      <c r="W111" s="35"/>
      <c r="X111" s="35">
        <v>0</v>
      </c>
      <c r="Y111" s="35"/>
      <c r="Z111" s="35">
        <v>0</v>
      </c>
      <c r="AA111" s="35"/>
      <c r="AB111" s="35">
        <v>0</v>
      </c>
      <c r="AC111" s="35"/>
      <c r="AD111" s="35">
        <v>0</v>
      </c>
      <c r="AE111" s="35"/>
      <c r="AF111" s="35">
        <v>0</v>
      </c>
      <c r="AG111" s="35"/>
      <c r="AH111" s="4">
        <f>SUM(F111:AF111)</f>
        <v>222223</v>
      </c>
    </row>
    <row r="112" spans="1:65" s="4" customFormat="1">
      <c r="A112" s="4">
        <v>226</v>
      </c>
      <c r="B112" s="4" t="s">
        <v>149</v>
      </c>
      <c r="D112" s="4" t="s">
        <v>92</v>
      </c>
      <c r="F112" s="4">
        <v>789025</v>
      </c>
      <c r="H112" s="4">
        <v>1710526</v>
      </c>
      <c r="J112" s="4">
        <v>173498</v>
      </c>
      <c r="L112" s="4">
        <v>79235</v>
      </c>
      <c r="N112" s="35">
        <v>0</v>
      </c>
      <c r="P112" s="4">
        <v>5627</v>
      </c>
      <c r="R112" s="4">
        <v>19851</v>
      </c>
      <c r="T112" s="4">
        <v>15056</v>
      </c>
      <c r="V112" s="4">
        <v>32072</v>
      </c>
      <c r="X112" s="35">
        <v>0</v>
      </c>
      <c r="Z112" s="35">
        <v>0</v>
      </c>
      <c r="AB112" s="35">
        <v>0</v>
      </c>
      <c r="AD112" s="35">
        <v>0</v>
      </c>
      <c r="AF112" s="35">
        <v>0</v>
      </c>
      <c r="AH112" s="4">
        <f>SUM(F112:AD112)</f>
        <v>2824890</v>
      </c>
    </row>
    <row r="113" spans="1:65" s="4" customFormat="1">
      <c r="A113" s="4">
        <v>12</v>
      </c>
      <c r="B113" s="4" t="s">
        <v>150</v>
      </c>
      <c r="D113" s="4" t="s">
        <v>41</v>
      </c>
      <c r="F113" s="35">
        <v>0</v>
      </c>
      <c r="H113" s="4">
        <v>740980</v>
      </c>
      <c r="J113" s="35">
        <v>0</v>
      </c>
      <c r="L113" s="4">
        <v>38498</v>
      </c>
      <c r="N113" s="35">
        <v>0</v>
      </c>
      <c r="P113" s="35">
        <v>0</v>
      </c>
      <c r="R113" s="4">
        <v>35664</v>
      </c>
      <c r="T113" s="4">
        <v>56231</v>
      </c>
      <c r="V113" s="35">
        <v>0</v>
      </c>
      <c r="X113" s="35">
        <v>0</v>
      </c>
      <c r="Z113" s="4">
        <v>745000</v>
      </c>
      <c r="AB113" s="35">
        <v>0</v>
      </c>
      <c r="AD113" s="35">
        <v>0</v>
      </c>
      <c r="AF113" s="35">
        <v>0</v>
      </c>
      <c r="AH113" s="4">
        <f>SUM(F113:AD113)</f>
        <v>1616373</v>
      </c>
    </row>
    <row r="114" spans="1:65" s="4" customFormat="1">
      <c r="A114" s="4">
        <v>24</v>
      </c>
      <c r="B114" s="4" t="s">
        <v>600</v>
      </c>
      <c r="D114" s="4" t="s">
        <v>152</v>
      </c>
      <c r="F114" s="4">
        <v>3376481</v>
      </c>
      <c r="H114" s="35">
        <v>0</v>
      </c>
      <c r="J114" s="4">
        <v>5308332</v>
      </c>
      <c r="L114" s="4">
        <v>186518</v>
      </c>
      <c r="N114" s="35">
        <v>0</v>
      </c>
      <c r="P114" s="35">
        <v>0</v>
      </c>
      <c r="R114" s="4">
        <v>3</v>
      </c>
      <c r="T114" s="4">
        <v>352808</v>
      </c>
      <c r="V114" s="4">
        <f>6171+49625</f>
        <v>55796</v>
      </c>
      <c r="X114" s="35">
        <v>0</v>
      </c>
      <c r="Z114" s="4">
        <v>450000</v>
      </c>
      <c r="AB114" s="35">
        <v>0</v>
      </c>
      <c r="AD114" s="35">
        <v>0</v>
      </c>
      <c r="AF114" s="35">
        <v>0</v>
      </c>
      <c r="AH114" s="4">
        <f>SUM(F114:AD114)</f>
        <v>9729938</v>
      </c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s="4" customFormat="1">
      <c r="A115" s="4">
        <v>18</v>
      </c>
      <c r="B115" s="4" t="s">
        <v>153</v>
      </c>
      <c r="D115" s="4" t="s">
        <v>81</v>
      </c>
      <c r="F115" s="35">
        <v>0</v>
      </c>
      <c r="H115" s="35">
        <v>938515</v>
      </c>
      <c r="J115" s="35">
        <v>0</v>
      </c>
      <c r="L115" s="35">
        <v>14455</v>
      </c>
      <c r="N115" s="35">
        <v>0</v>
      </c>
      <c r="P115" s="35">
        <v>0</v>
      </c>
      <c r="R115" s="35">
        <v>116998</v>
      </c>
      <c r="T115" s="35">
        <v>4624</v>
      </c>
      <c r="V115" s="35">
        <v>479479</v>
      </c>
      <c r="X115" s="35">
        <v>0</v>
      </c>
      <c r="Z115" s="35">
        <v>0</v>
      </c>
      <c r="AB115" s="35">
        <v>0</v>
      </c>
      <c r="AD115" s="35">
        <v>0</v>
      </c>
      <c r="AF115" s="35">
        <v>370636</v>
      </c>
      <c r="AH115" s="4">
        <f>SUM(F115:AF115)</f>
        <v>1924707</v>
      </c>
    </row>
    <row r="116" spans="1:65" s="4" customFormat="1">
      <c r="A116" s="4">
        <v>20</v>
      </c>
      <c r="B116" s="4" t="s">
        <v>601</v>
      </c>
      <c r="D116" s="4" t="s">
        <v>154</v>
      </c>
      <c r="F116" s="35">
        <v>0</v>
      </c>
      <c r="H116" s="4">
        <v>1461677</v>
      </c>
      <c r="J116" s="35">
        <v>0</v>
      </c>
      <c r="L116" s="4">
        <v>35805</v>
      </c>
      <c r="N116" s="35">
        <v>0</v>
      </c>
      <c r="P116" s="35">
        <v>0</v>
      </c>
      <c r="R116" s="4">
        <v>1266</v>
      </c>
      <c r="T116" s="4">
        <v>70690</v>
      </c>
      <c r="V116" s="4">
        <v>4758</v>
      </c>
      <c r="X116" s="4">
        <v>2700</v>
      </c>
      <c r="Z116" s="35">
        <v>0</v>
      </c>
      <c r="AB116" s="35">
        <v>0</v>
      </c>
      <c r="AD116" s="35">
        <v>0</v>
      </c>
      <c r="AF116" s="35">
        <v>0</v>
      </c>
      <c r="AH116" s="4">
        <f>SUM(F116:AD116)</f>
        <v>1576896</v>
      </c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s="4" customFormat="1">
      <c r="A117" s="4">
        <v>102</v>
      </c>
      <c r="B117" s="35" t="s">
        <v>155</v>
      </c>
      <c r="C117" s="35"/>
      <c r="D117" s="35" t="s">
        <v>43</v>
      </c>
      <c r="E117" s="35"/>
      <c r="F117" s="35">
        <v>102249</v>
      </c>
      <c r="G117" s="35"/>
      <c r="H117" s="35">
        <v>406194</v>
      </c>
      <c r="I117" s="35"/>
      <c r="J117" s="35">
        <v>18166</v>
      </c>
      <c r="K117" s="35"/>
      <c r="L117" s="35">
        <v>10256</v>
      </c>
      <c r="M117" s="35"/>
      <c r="N117" s="35">
        <v>0</v>
      </c>
      <c r="O117" s="35"/>
      <c r="P117" s="35">
        <v>0</v>
      </c>
      <c r="Q117" s="35"/>
      <c r="R117" s="35">
        <v>1565</v>
      </c>
      <c r="S117" s="35"/>
      <c r="T117" s="35">
        <v>336</v>
      </c>
      <c r="U117" s="35"/>
      <c r="V117" s="35">
        <v>99</v>
      </c>
      <c r="W117" s="35"/>
      <c r="X117" s="35">
        <v>0</v>
      </c>
      <c r="Y117" s="35"/>
      <c r="Z117" s="35">
        <v>0</v>
      </c>
      <c r="AA117" s="35"/>
      <c r="AB117" s="35">
        <v>0</v>
      </c>
      <c r="AC117" s="35"/>
      <c r="AD117" s="35">
        <v>0</v>
      </c>
      <c r="AE117" s="35"/>
      <c r="AF117" s="35">
        <v>0</v>
      </c>
      <c r="AG117" s="35"/>
      <c r="AH117" s="4">
        <f>SUM(F117:AF117)</f>
        <v>538865</v>
      </c>
    </row>
    <row r="118" spans="1:65" s="4" customFormat="1">
      <c r="A118" s="4">
        <v>4</v>
      </c>
      <c r="B118" s="4" t="s">
        <v>156</v>
      </c>
      <c r="D118" s="4" t="s">
        <v>61</v>
      </c>
      <c r="F118" s="35">
        <v>0</v>
      </c>
      <c r="H118" s="4">
        <v>79162</v>
      </c>
      <c r="J118" s="35">
        <v>0</v>
      </c>
      <c r="L118" s="4">
        <v>1974</v>
      </c>
      <c r="N118" s="35">
        <v>0</v>
      </c>
      <c r="P118" s="35">
        <v>0</v>
      </c>
      <c r="R118" s="4">
        <v>1455</v>
      </c>
      <c r="T118" s="4">
        <v>723</v>
      </c>
      <c r="V118" s="4">
        <v>5877</v>
      </c>
      <c r="X118" s="35">
        <v>0</v>
      </c>
      <c r="Z118" s="35">
        <v>0</v>
      </c>
      <c r="AB118" s="35">
        <v>0</v>
      </c>
      <c r="AD118" s="35">
        <v>0</v>
      </c>
      <c r="AF118" s="35">
        <v>0</v>
      </c>
      <c r="AH118" s="4">
        <f>SUM(F118:AD118)</f>
        <v>89191</v>
      </c>
    </row>
    <row r="119" spans="1:65" s="4" customFormat="1">
      <c r="A119" s="4">
        <v>173</v>
      </c>
      <c r="B119" s="4" t="s">
        <v>157</v>
      </c>
      <c r="D119" s="4" t="s">
        <v>158</v>
      </c>
      <c r="F119" s="35">
        <v>0</v>
      </c>
      <c r="H119" s="4">
        <v>466815</v>
      </c>
      <c r="J119" s="35">
        <v>0</v>
      </c>
      <c r="L119" s="4">
        <v>17660</v>
      </c>
      <c r="N119" s="35">
        <v>0</v>
      </c>
      <c r="P119" s="35">
        <v>0</v>
      </c>
      <c r="R119" s="35">
        <v>0</v>
      </c>
      <c r="T119" s="4">
        <v>8548</v>
      </c>
      <c r="V119" s="35">
        <v>0</v>
      </c>
      <c r="X119" s="35">
        <v>0</v>
      </c>
      <c r="Z119" s="4">
        <v>30000</v>
      </c>
      <c r="AB119" s="35">
        <v>0</v>
      </c>
      <c r="AD119" s="35">
        <v>0</v>
      </c>
      <c r="AF119" s="35">
        <v>0</v>
      </c>
      <c r="AH119" s="4">
        <f>SUM(F119:AD119)</f>
        <v>523023</v>
      </c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</row>
    <row r="120" spans="1:65" s="4" customFormat="1">
      <c r="A120" s="4">
        <v>168</v>
      </c>
      <c r="B120" s="4" t="s">
        <v>305</v>
      </c>
      <c r="D120" s="4" t="s">
        <v>43</v>
      </c>
      <c r="F120" s="35">
        <v>0</v>
      </c>
      <c r="H120" s="35">
        <v>314963</v>
      </c>
      <c r="J120" s="35">
        <v>57627</v>
      </c>
      <c r="L120" s="35">
        <v>18687</v>
      </c>
      <c r="N120" s="35">
        <v>0</v>
      </c>
      <c r="P120" s="35">
        <v>0</v>
      </c>
      <c r="R120" s="35">
        <v>24935</v>
      </c>
      <c r="T120" s="35">
        <v>657</v>
      </c>
      <c r="V120" s="35">
        <v>13226</v>
      </c>
      <c r="X120" s="35">
        <v>11162</v>
      </c>
      <c r="Z120" s="35">
        <v>0</v>
      </c>
      <c r="AB120" s="35">
        <v>0</v>
      </c>
      <c r="AD120" s="35">
        <v>0</v>
      </c>
      <c r="AF120" s="35">
        <v>0</v>
      </c>
      <c r="AH120" s="4">
        <f>SUM(F120:AF120)</f>
        <v>441257</v>
      </c>
    </row>
    <row r="121" spans="1:65" s="4" customFormat="1">
      <c r="A121" s="4">
        <v>144</v>
      </c>
      <c r="B121" s="4" t="s">
        <v>159</v>
      </c>
      <c r="D121" s="4" t="s">
        <v>160</v>
      </c>
      <c r="F121" s="4">
        <v>68397</v>
      </c>
      <c r="H121" s="4">
        <v>426972</v>
      </c>
      <c r="J121" s="4">
        <v>9110</v>
      </c>
      <c r="L121" s="4">
        <v>9464</v>
      </c>
      <c r="N121" s="35">
        <v>0</v>
      </c>
      <c r="P121" s="35">
        <v>0</v>
      </c>
      <c r="R121" s="4">
        <v>131758</v>
      </c>
      <c r="T121" s="4">
        <v>70819</v>
      </c>
      <c r="V121" s="4">
        <v>7</v>
      </c>
      <c r="X121" s="35">
        <v>0</v>
      </c>
      <c r="Z121" s="35">
        <v>0</v>
      </c>
      <c r="AB121" s="35">
        <v>0</v>
      </c>
      <c r="AD121" s="35">
        <v>0</v>
      </c>
      <c r="AF121" s="35">
        <v>0</v>
      </c>
      <c r="AH121" s="4">
        <f>SUM(F121:AD121)</f>
        <v>716527</v>
      </c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65" s="4" customFormat="1">
      <c r="A122" s="4">
        <v>198</v>
      </c>
      <c r="B122" s="35" t="s">
        <v>458</v>
      </c>
      <c r="C122" s="35"/>
      <c r="D122" s="35" t="s">
        <v>57</v>
      </c>
      <c r="E122" s="35"/>
      <c r="F122" s="35">
        <v>155746</v>
      </c>
      <c r="G122" s="35"/>
      <c r="H122" s="35">
        <v>381251</v>
      </c>
      <c r="I122" s="35"/>
      <c r="J122" s="35">
        <v>21111</v>
      </c>
      <c r="K122" s="35"/>
      <c r="L122" s="35">
        <v>13944</v>
      </c>
      <c r="M122" s="35"/>
      <c r="N122" s="35">
        <v>0</v>
      </c>
      <c r="O122" s="35"/>
      <c r="P122" s="35">
        <v>0</v>
      </c>
      <c r="Q122" s="35"/>
      <c r="R122" s="35">
        <v>14413</v>
      </c>
      <c r="S122" s="35"/>
      <c r="T122" s="35">
        <v>7293</v>
      </c>
      <c r="U122" s="35"/>
      <c r="V122" s="35">
        <v>74</v>
      </c>
      <c r="W122" s="35"/>
      <c r="X122" s="35">
        <v>0</v>
      </c>
      <c r="Y122" s="35"/>
      <c r="Z122" s="35">
        <v>0</v>
      </c>
      <c r="AA122" s="35"/>
      <c r="AB122" s="35">
        <v>0</v>
      </c>
      <c r="AC122" s="35"/>
      <c r="AD122" s="35">
        <v>0</v>
      </c>
      <c r="AE122" s="35"/>
      <c r="AF122" s="35">
        <v>0</v>
      </c>
      <c r="AG122" s="35"/>
      <c r="AH122" s="4">
        <f>SUM(F122:AF122)</f>
        <v>593832</v>
      </c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s="4" customFormat="1">
      <c r="A123" s="4">
        <v>33</v>
      </c>
      <c r="B123" s="4" t="s">
        <v>161</v>
      </c>
      <c r="D123" s="4" t="s">
        <v>58</v>
      </c>
      <c r="F123" s="35">
        <v>1390165</v>
      </c>
      <c r="H123" s="35">
        <v>0</v>
      </c>
      <c r="J123" s="35">
        <v>0</v>
      </c>
      <c r="L123" s="35">
        <v>68020</v>
      </c>
      <c r="N123" s="35">
        <v>0</v>
      </c>
      <c r="P123" s="35">
        <v>0</v>
      </c>
      <c r="R123" s="35">
        <v>57981</v>
      </c>
      <c r="T123" s="35">
        <v>101715</v>
      </c>
      <c r="V123" s="35">
        <v>2316</v>
      </c>
      <c r="X123" s="35">
        <v>0</v>
      </c>
      <c r="Z123" s="35">
        <v>0</v>
      </c>
      <c r="AB123" s="35">
        <v>0</v>
      </c>
      <c r="AD123" s="35">
        <v>0</v>
      </c>
      <c r="AF123" s="35">
        <v>0</v>
      </c>
      <c r="AH123" s="4">
        <f>SUM(F123:AF123)</f>
        <v>1620197</v>
      </c>
    </row>
    <row r="124" spans="1:65" s="4" customFormat="1">
      <c r="A124" s="4">
        <v>166</v>
      </c>
      <c r="B124" s="4" t="s">
        <v>162</v>
      </c>
      <c r="D124" s="4" t="s">
        <v>60</v>
      </c>
      <c r="F124" s="4">
        <v>122363</v>
      </c>
      <c r="H124" s="35">
        <v>0</v>
      </c>
      <c r="J124" s="35">
        <v>0</v>
      </c>
      <c r="L124" s="4">
        <v>204</v>
      </c>
      <c r="N124" s="35">
        <v>0</v>
      </c>
      <c r="P124" s="35">
        <v>0</v>
      </c>
      <c r="R124" s="4">
        <v>103823</v>
      </c>
      <c r="T124" s="4">
        <v>4680</v>
      </c>
      <c r="V124" s="4">
        <v>881</v>
      </c>
      <c r="X124" s="35">
        <v>0</v>
      </c>
      <c r="Z124" s="35">
        <v>0</v>
      </c>
      <c r="AB124" s="35">
        <v>0</v>
      </c>
      <c r="AD124" s="35">
        <v>0</v>
      </c>
      <c r="AF124" s="35">
        <v>0</v>
      </c>
      <c r="AH124" s="4">
        <f>SUM(F124:AD124)</f>
        <v>231951</v>
      </c>
    </row>
    <row r="125" spans="1:65" s="4" customFormat="1">
      <c r="A125" s="4">
        <v>143</v>
      </c>
      <c r="B125" s="4" t="s">
        <v>602</v>
      </c>
      <c r="D125" s="4" t="s">
        <v>163</v>
      </c>
      <c r="F125" s="35">
        <v>0</v>
      </c>
      <c r="H125" s="35">
        <v>1257000</v>
      </c>
      <c r="J125" s="35">
        <v>0</v>
      </c>
      <c r="L125" s="35">
        <v>29703</v>
      </c>
      <c r="N125" s="35">
        <v>0</v>
      </c>
      <c r="P125" s="35">
        <v>0</v>
      </c>
      <c r="R125" s="35">
        <v>25572</v>
      </c>
      <c r="T125" s="35">
        <v>3167</v>
      </c>
      <c r="V125" s="35">
        <f>919+8</f>
        <v>927</v>
      </c>
      <c r="X125" s="35">
        <v>125</v>
      </c>
      <c r="Z125" s="35">
        <v>0</v>
      </c>
      <c r="AB125" s="35">
        <v>0</v>
      </c>
      <c r="AD125" s="35">
        <v>0</v>
      </c>
      <c r="AF125" s="35">
        <v>0</v>
      </c>
      <c r="AH125" s="4">
        <f>SUM(F125:AF125)</f>
        <v>1316494</v>
      </c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s="4" customFormat="1">
      <c r="A126" s="4">
        <v>47</v>
      </c>
      <c r="B126" s="4" t="s">
        <v>306</v>
      </c>
      <c r="D126" s="4" t="s">
        <v>41</v>
      </c>
      <c r="F126" s="35">
        <v>0</v>
      </c>
      <c r="H126" s="35">
        <v>222294</v>
      </c>
      <c r="J126" s="35">
        <v>2500</v>
      </c>
      <c r="L126" s="35">
        <v>2554</v>
      </c>
      <c r="N126" s="35">
        <v>0</v>
      </c>
      <c r="P126" s="35">
        <v>0</v>
      </c>
      <c r="R126" s="35">
        <v>2050</v>
      </c>
      <c r="T126" s="35">
        <v>4734</v>
      </c>
      <c r="V126" s="35">
        <v>5037</v>
      </c>
      <c r="X126" s="35">
        <v>0</v>
      </c>
      <c r="Z126" s="35">
        <v>0</v>
      </c>
      <c r="AB126" s="35">
        <v>0</v>
      </c>
      <c r="AD126" s="35">
        <v>0</v>
      </c>
      <c r="AF126" s="35">
        <v>0</v>
      </c>
      <c r="AH126" s="4">
        <f>SUM(F126:AF126)</f>
        <v>239169</v>
      </c>
    </row>
    <row r="127" spans="1:65" s="4" customFormat="1">
      <c r="A127" s="4">
        <v>42</v>
      </c>
      <c r="B127" s="35" t="s">
        <v>459</v>
      </c>
      <c r="C127" s="35"/>
      <c r="D127" s="35" t="s">
        <v>56</v>
      </c>
      <c r="E127" s="35"/>
      <c r="F127" s="35">
        <v>0</v>
      </c>
      <c r="G127" s="35"/>
      <c r="H127" s="35">
        <v>808222</v>
      </c>
      <c r="I127" s="35"/>
      <c r="J127" s="35">
        <v>0</v>
      </c>
      <c r="K127" s="35"/>
      <c r="L127" s="35">
        <v>18345</v>
      </c>
      <c r="M127" s="35"/>
      <c r="N127" s="35">
        <v>0</v>
      </c>
      <c r="O127" s="35"/>
      <c r="P127" s="35">
        <v>0</v>
      </c>
      <c r="Q127" s="35"/>
      <c r="R127" s="35">
        <v>13699</v>
      </c>
      <c r="S127" s="35"/>
      <c r="T127" s="35">
        <v>12511</v>
      </c>
      <c r="U127" s="35"/>
      <c r="V127" s="35">
        <v>579</v>
      </c>
      <c r="W127" s="35"/>
      <c r="X127" s="35">
        <v>0</v>
      </c>
      <c r="Y127" s="35"/>
      <c r="Z127" s="35">
        <v>0</v>
      </c>
      <c r="AA127" s="35"/>
      <c r="AB127" s="35">
        <v>0</v>
      </c>
      <c r="AC127" s="35"/>
      <c r="AD127" s="35">
        <v>0</v>
      </c>
      <c r="AE127" s="35"/>
      <c r="AF127" s="35">
        <v>0</v>
      </c>
      <c r="AG127" s="35"/>
      <c r="AH127" s="4">
        <f>SUM(F127:AF127)</f>
        <v>853356</v>
      </c>
    </row>
    <row r="128" spans="1:65" s="4" customFormat="1">
      <c r="A128" s="4">
        <v>151</v>
      </c>
      <c r="B128" s="4" t="s">
        <v>165</v>
      </c>
      <c r="D128" s="4" t="s">
        <v>22</v>
      </c>
      <c r="F128" s="4">
        <v>1392002</v>
      </c>
      <c r="H128" s="4">
        <v>1097684</v>
      </c>
      <c r="J128" s="35">
        <v>0</v>
      </c>
      <c r="L128" s="4">
        <v>60987</v>
      </c>
      <c r="N128" s="35">
        <v>0</v>
      </c>
      <c r="P128" s="4">
        <v>16229</v>
      </c>
      <c r="R128" s="35">
        <v>0</v>
      </c>
      <c r="T128" s="4">
        <v>21040</v>
      </c>
      <c r="V128" s="4">
        <v>658</v>
      </c>
      <c r="X128" s="35">
        <v>0</v>
      </c>
      <c r="Z128" s="35">
        <v>0</v>
      </c>
      <c r="AB128" s="35">
        <v>0</v>
      </c>
      <c r="AD128" s="35">
        <v>0</v>
      </c>
      <c r="AF128" s="35">
        <v>0</v>
      </c>
      <c r="AH128" s="4">
        <f>SUM(F128:AD128)</f>
        <v>2588600</v>
      </c>
    </row>
    <row r="129" spans="1:65" s="4" customFormat="1">
      <c r="A129" s="4">
        <v>10</v>
      </c>
      <c r="B129" s="4" t="s">
        <v>166</v>
      </c>
      <c r="D129" s="4" t="s">
        <v>167</v>
      </c>
      <c r="F129" s="4">
        <v>285808</v>
      </c>
      <c r="H129" s="4">
        <v>388904</v>
      </c>
      <c r="J129" s="35">
        <v>0</v>
      </c>
      <c r="L129" s="4">
        <v>30026</v>
      </c>
      <c r="N129" s="35">
        <v>0</v>
      </c>
      <c r="P129" s="35">
        <v>0</v>
      </c>
      <c r="R129" s="4">
        <v>5459</v>
      </c>
      <c r="T129" s="4">
        <v>8082</v>
      </c>
      <c r="V129" s="4">
        <v>6298</v>
      </c>
      <c r="X129" s="35">
        <v>0</v>
      </c>
      <c r="Z129" s="35">
        <v>0</v>
      </c>
      <c r="AB129" s="35">
        <v>0</v>
      </c>
      <c r="AD129" s="35">
        <v>0</v>
      </c>
      <c r="AF129" s="35">
        <v>0</v>
      </c>
      <c r="AH129" s="4">
        <f>SUM(F129:AD129)</f>
        <v>724577</v>
      </c>
    </row>
    <row r="130" spans="1:65" s="4" customFormat="1">
      <c r="A130" s="4">
        <v>63</v>
      </c>
      <c r="B130" s="4" t="s">
        <v>37</v>
      </c>
      <c r="D130" s="4" t="s">
        <v>12</v>
      </c>
      <c r="F130" s="35">
        <v>0</v>
      </c>
      <c r="H130" s="4">
        <v>370489</v>
      </c>
      <c r="J130" s="35">
        <v>0</v>
      </c>
      <c r="L130" s="4">
        <v>9577</v>
      </c>
      <c r="N130" s="35">
        <v>0</v>
      </c>
      <c r="P130" s="35">
        <v>0</v>
      </c>
      <c r="R130" s="4">
        <v>43626</v>
      </c>
      <c r="T130" s="4">
        <v>2675</v>
      </c>
      <c r="V130" s="4">
        <v>3124</v>
      </c>
      <c r="X130" s="35">
        <v>0</v>
      </c>
      <c r="Z130" s="35">
        <v>0</v>
      </c>
      <c r="AB130" s="35">
        <v>0</v>
      </c>
      <c r="AD130" s="35">
        <v>0</v>
      </c>
      <c r="AF130" s="35">
        <v>0</v>
      </c>
      <c r="AH130" s="4">
        <f>SUM(F130:AD130)</f>
        <v>429491</v>
      </c>
    </row>
    <row r="131" spans="1:65" s="4" customFormat="1">
      <c r="A131" s="4">
        <v>244</v>
      </c>
      <c r="B131" s="4" t="s">
        <v>37</v>
      </c>
      <c r="D131" s="4" t="s">
        <v>12</v>
      </c>
      <c r="F131" s="35">
        <v>0</v>
      </c>
      <c r="H131" s="35">
        <v>370489</v>
      </c>
      <c r="J131" s="35">
        <v>0</v>
      </c>
      <c r="L131" s="35">
        <v>9577</v>
      </c>
      <c r="N131" s="35">
        <v>0</v>
      </c>
      <c r="P131" s="35">
        <v>0</v>
      </c>
      <c r="R131" s="35">
        <v>43626</v>
      </c>
      <c r="T131" s="35">
        <v>2675</v>
      </c>
      <c r="V131" s="35">
        <v>3124</v>
      </c>
      <c r="X131" s="35">
        <v>0</v>
      </c>
      <c r="Z131" s="35">
        <v>0</v>
      </c>
      <c r="AB131" s="35">
        <v>0</v>
      </c>
      <c r="AD131" s="35">
        <v>0</v>
      </c>
      <c r="AF131" s="35">
        <v>0</v>
      </c>
      <c r="AH131" s="4">
        <f>SUM(F131:AF131)</f>
        <v>429491</v>
      </c>
    </row>
    <row r="132" spans="1:65" s="4" customFormat="1">
      <c r="A132" s="4">
        <v>201</v>
      </c>
      <c r="B132" s="4" t="s">
        <v>168</v>
      </c>
      <c r="D132" s="4" t="s">
        <v>158</v>
      </c>
      <c r="F132" s="4">
        <v>778026</v>
      </c>
      <c r="H132" s="35">
        <v>0</v>
      </c>
      <c r="J132" s="35">
        <v>0</v>
      </c>
      <c r="L132" s="4">
        <v>19276</v>
      </c>
      <c r="N132" s="35">
        <v>0</v>
      </c>
      <c r="P132" s="35">
        <v>0</v>
      </c>
      <c r="R132" s="4">
        <v>11475</v>
      </c>
      <c r="T132" s="4">
        <v>7112</v>
      </c>
      <c r="V132" s="4">
        <v>3338</v>
      </c>
      <c r="X132" s="35">
        <v>0</v>
      </c>
      <c r="Z132" s="35">
        <v>0</v>
      </c>
      <c r="AB132" s="35">
        <v>0</v>
      </c>
      <c r="AD132" s="35">
        <v>0</v>
      </c>
      <c r="AF132" s="35">
        <v>0</v>
      </c>
      <c r="AH132" s="4">
        <f>SUM(F132:AD132)</f>
        <v>819227</v>
      </c>
    </row>
    <row r="133" spans="1:65" s="4" customFormat="1">
      <c r="A133" s="4">
        <v>7</v>
      </c>
      <c r="B133" s="35" t="s">
        <v>339</v>
      </c>
      <c r="C133" s="35"/>
      <c r="D133" s="35" t="s">
        <v>53</v>
      </c>
      <c r="E133" s="35"/>
      <c r="F133" s="35">
        <v>0</v>
      </c>
      <c r="G133" s="35"/>
      <c r="H133" s="35">
        <v>272196</v>
      </c>
      <c r="I133" s="35"/>
      <c r="J133" s="35">
        <v>0</v>
      </c>
      <c r="K133" s="35"/>
      <c r="L133" s="35">
        <v>4365</v>
      </c>
      <c r="M133" s="35"/>
      <c r="N133" s="35">
        <v>0</v>
      </c>
      <c r="O133" s="35"/>
      <c r="P133" s="35">
        <v>0</v>
      </c>
      <c r="Q133" s="35"/>
      <c r="R133" s="35">
        <v>25635</v>
      </c>
      <c r="S133" s="35"/>
      <c r="T133" s="35">
        <v>24548</v>
      </c>
      <c r="U133" s="35"/>
      <c r="V133" s="35">
        <v>2740</v>
      </c>
      <c r="W133" s="35"/>
      <c r="X133" s="35">
        <v>0</v>
      </c>
      <c r="Y133" s="35"/>
      <c r="Z133" s="35">
        <v>0</v>
      </c>
      <c r="AA133" s="35"/>
      <c r="AB133" s="35">
        <v>0</v>
      </c>
      <c r="AC133" s="35"/>
      <c r="AD133" s="35">
        <v>0</v>
      </c>
      <c r="AE133" s="35"/>
      <c r="AF133" s="35">
        <v>0</v>
      </c>
      <c r="AG133" s="35"/>
      <c r="AH133" s="4">
        <f>SUM(F133:AF133)</f>
        <v>329484</v>
      </c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1:65" s="4" customFormat="1">
      <c r="A134" s="4">
        <v>239</v>
      </c>
      <c r="B134" s="4" t="s">
        <v>169</v>
      </c>
      <c r="D134" s="4" t="s">
        <v>170</v>
      </c>
      <c r="F134" s="35">
        <v>0</v>
      </c>
      <c r="H134" s="35">
        <v>482309</v>
      </c>
      <c r="J134" s="35">
        <v>0</v>
      </c>
      <c r="L134" s="35">
        <v>14828</v>
      </c>
      <c r="N134" s="35">
        <v>0</v>
      </c>
      <c r="P134" s="35">
        <v>0</v>
      </c>
      <c r="R134" s="35">
        <v>9431</v>
      </c>
      <c r="T134" s="35">
        <v>13575</v>
      </c>
      <c r="V134" s="35">
        <v>5751</v>
      </c>
      <c r="X134" s="35">
        <v>1590</v>
      </c>
      <c r="Z134" s="35">
        <v>0</v>
      </c>
      <c r="AB134" s="35">
        <v>0</v>
      </c>
      <c r="AD134" s="35">
        <v>0</v>
      </c>
      <c r="AF134" s="35">
        <v>0</v>
      </c>
      <c r="AH134" s="4">
        <f>SUM(F134:AF134)</f>
        <v>527484</v>
      </c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 spans="1:65" s="4" customFormat="1">
      <c r="A135" s="4">
        <v>210</v>
      </c>
      <c r="B135" s="35" t="s">
        <v>338</v>
      </c>
      <c r="C135" s="35"/>
      <c r="D135" s="35" t="s">
        <v>59</v>
      </c>
      <c r="E135" s="35"/>
      <c r="F135" s="35">
        <v>0</v>
      </c>
      <c r="G135" s="35"/>
      <c r="H135" s="35">
        <v>520925</v>
      </c>
      <c r="I135" s="35"/>
      <c r="J135" s="35">
        <v>0</v>
      </c>
      <c r="K135" s="35"/>
      <c r="L135" s="35">
        <v>16971</v>
      </c>
      <c r="M135" s="35"/>
      <c r="N135" s="35">
        <v>0</v>
      </c>
      <c r="O135" s="35"/>
      <c r="P135" s="35">
        <v>0</v>
      </c>
      <c r="Q135" s="35"/>
      <c r="R135" s="35">
        <v>1028</v>
      </c>
      <c r="S135" s="35"/>
      <c r="T135" s="35">
        <v>17142</v>
      </c>
      <c r="U135" s="35"/>
      <c r="V135" s="35">
        <v>8809</v>
      </c>
      <c r="W135" s="35"/>
      <c r="X135" s="35">
        <v>0</v>
      </c>
      <c r="Y135" s="35"/>
      <c r="Z135" s="35">
        <v>0</v>
      </c>
      <c r="AA135" s="35"/>
      <c r="AB135" s="35">
        <v>0</v>
      </c>
      <c r="AC135" s="35"/>
      <c r="AD135" s="35">
        <v>0</v>
      </c>
      <c r="AE135" s="35"/>
      <c r="AF135" s="35">
        <v>0</v>
      </c>
      <c r="AG135" s="35"/>
      <c r="AH135" s="4">
        <f>SUM(F135:AF135)</f>
        <v>564875</v>
      </c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 spans="1:65" s="4" customFormat="1">
      <c r="A136" s="4">
        <v>66</v>
      </c>
      <c r="B136" s="4" t="s">
        <v>171</v>
      </c>
      <c r="D136" s="4" t="s">
        <v>45</v>
      </c>
      <c r="F136" s="4">
        <v>686254</v>
      </c>
      <c r="H136" s="4">
        <v>30000</v>
      </c>
      <c r="J136" s="35">
        <v>0</v>
      </c>
      <c r="L136" s="4">
        <v>14590</v>
      </c>
      <c r="N136" s="35">
        <v>0</v>
      </c>
      <c r="P136" s="35">
        <v>0</v>
      </c>
      <c r="R136" s="4">
        <v>14875</v>
      </c>
      <c r="T136" s="4">
        <v>20179</v>
      </c>
      <c r="V136" s="4">
        <f>1417+22417</f>
        <v>23834</v>
      </c>
      <c r="X136" s="35">
        <v>0</v>
      </c>
      <c r="Z136" s="35">
        <v>0</v>
      </c>
      <c r="AB136" s="35">
        <v>0</v>
      </c>
      <c r="AD136" s="35">
        <v>0</v>
      </c>
      <c r="AF136" s="35">
        <v>0</v>
      </c>
      <c r="AH136" s="4">
        <f>SUM(F136:AD136)</f>
        <v>789732</v>
      </c>
    </row>
    <row r="137" spans="1:65" s="4" customFormat="1">
      <c r="A137" s="4">
        <v>242</v>
      </c>
      <c r="B137" s="4" t="s">
        <v>172</v>
      </c>
      <c r="D137" s="4" t="s">
        <v>173</v>
      </c>
      <c r="F137" s="35">
        <v>0</v>
      </c>
      <c r="H137" s="35">
        <v>1601669</v>
      </c>
      <c r="J137" s="35">
        <v>2825</v>
      </c>
      <c r="L137" s="35">
        <v>41602</v>
      </c>
      <c r="N137" s="35">
        <v>0</v>
      </c>
      <c r="P137" s="35">
        <v>0</v>
      </c>
      <c r="R137" s="35">
        <v>75</v>
      </c>
      <c r="T137" s="35">
        <v>49617</v>
      </c>
      <c r="V137" s="35">
        <v>1692</v>
      </c>
      <c r="X137" s="35">
        <v>0</v>
      </c>
      <c r="Z137" s="35">
        <v>0</v>
      </c>
      <c r="AB137" s="35">
        <v>0</v>
      </c>
      <c r="AD137" s="35">
        <v>0</v>
      </c>
      <c r="AF137" s="35">
        <v>0</v>
      </c>
      <c r="AH137" s="4">
        <f>SUM(F137:AF137)</f>
        <v>1697480</v>
      </c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 spans="1:65" s="4" customFormat="1">
      <c r="A138" s="4">
        <v>48</v>
      </c>
      <c r="B138" s="35" t="s">
        <v>174</v>
      </c>
      <c r="C138" s="35"/>
      <c r="D138" s="35" t="s">
        <v>43</v>
      </c>
      <c r="E138" s="35"/>
      <c r="F138" s="35">
        <v>103223</v>
      </c>
      <c r="G138" s="35"/>
      <c r="H138" s="35">
        <v>267641</v>
      </c>
      <c r="I138" s="35"/>
      <c r="J138" s="35">
        <v>14603</v>
      </c>
      <c r="K138" s="35"/>
      <c r="L138" s="35">
        <v>5934</v>
      </c>
      <c r="M138" s="35"/>
      <c r="N138" s="35">
        <v>0</v>
      </c>
      <c r="O138" s="35"/>
      <c r="P138" s="35">
        <v>1600</v>
      </c>
      <c r="Q138" s="35"/>
      <c r="R138" s="35">
        <v>4435</v>
      </c>
      <c r="S138" s="35"/>
      <c r="T138" s="35">
        <v>3954</v>
      </c>
      <c r="U138" s="35"/>
      <c r="V138" s="35">
        <v>10628</v>
      </c>
      <c r="W138" s="35"/>
      <c r="X138" s="35">
        <v>0</v>
      </c>
      <c r="Y138" s="35"/>
      <c r="Z138" s="35">
        <v>0</v>
      </c>
      <c r="AA138" s="35"/>
      <c r="AB138" s="35">
        <v>0</v>
      </c>
      <c r="AC138" s="35"/>
      <c r="AD138" s="35">
        <v>0</v>
      </c>
      <c r="AE138" s="35"/>
      <c r="AF138" s="35">
        <v>0</v>
      </c>
      <c r="AG138" s="35"/>
      <c r="AH138" s="4">
        <f>SUM(F138:AF138)</f>
        <v>412018</v>
      </c>
    </row>
    <row r="139" spans="1:65" s="4" customFormat="1">
      <c r="A139" s="4">
        <v>46</v>
      </c>
      <c r="B139" s="4" t="s">
        <v>175</v>
      </c>
      <c r="D139" s="4" t="s">
        <v>56</v>
      </c>
      <c r="F139" s="35">
        <v>0</v>
      </c>
      <c r="H139" s="35">
        <v>517194</v>
      </c>
      <c r="J139" s="35">
        <v>0</v>
      </c>
      <c r="L139" s="35">
        <v>14432</v>
      </c>
      <c r="N139" s="35">
        <v>0</v>
      </c>
      <c r="P139" s="35">
        <v>0</v>
      </c>
      <c r="R139" s="35">
        <v>1185</v>
      </c>
      <c r="T139" s="35">
        <v>3721</v>
      </c>
      <c r="V139" s="35">
        <v>41</v>
      </c>
      <c r="X139" s="35">
        <v>0</v>
      </c>
      <c r="Z139" s="35">
        <v>0</v>
      </c>
      <c r="AB139" s="35">
        <v>0</v>
      </c>
      <c r="AD139" s="35">
        <v>0</v>
      </c>
      <c r="AF139" s="35">
        <v>0</v>
      </c>
      <c r="AH139" s="4">
        <f>SUM(F139:AF139)</f>
        <v>536573</v>
      </c>
    </row>
    <row r="140" spans="1:65" s="4" customFormat="1">
      <c r="A140" s="4">
        <v>37</v>
      </c>
      <c r="B140" s="4" t="s">
        <v>176</v>
      </c>
      <c r="D140" s="4" t="s">
        <v>15</v>
      </c>
      <c r="F140" s="35">
        <v>351504</v>
      </c>
      <c r="H140" s="35">
        <v>484970</v>
      </c>
      <c r="J140" s="35">
        <v>0</v>
      </c>
      <c r="L140" s="35">
        <v>13912</v>
      </c>
      <c r="N140" s="35">
        <v>0</v>
      </c>
      <c r="P140" s="35">
        <v>0</v>
      </c>
      <c r="R140" s="35">
        <v>12597</v>
      </c>
      <c r="T140" s="35">
        <v>5644</v>
      </c>
      <c r="V140" s="35">
        <v>995</v>
      </c>
      <c r="X140" s="35">
        <v>0</v>
      </c>
      <c r="Z140" s="35">
        <v>2300</v>
      </c>
      <c r="AB140" s="35">
        <v>0</v>
      </c>
      <c r="AD140" s="35">
        <v>0</v>
      </c>
      <c r="AF140" s="35">
        <v>0</v>
      </c>
      <c r="AH140" s="4">
        <f>SUM(F140:AF140)</f>
        <v>871922</v>
      </c>
    </row>
    <row r="141" spans="1:65" s="4" customFormat="1">
      <c r="A141" s="4">
        <v>229</v>
      </c>
      <c r="B141" s="15" t="s">
        <v>438</v>
      </c>
      <c r="C141" s="15"/>
      <c r="D141" s="15" t="s">
        <v>19</v>
      </c>
      <c r="E141" s="15"/>
      <c r="F141" s="4">
        <v>2029670</v>
      </c>
      <c r="G141" s="15"/>
      <c r="H141" s="4">
        <v>0</v>
      </c>
      <c r="I141" s="15"/>
      <c r="J141" s="4">
        <v>2599585</v>
      </c>
      <c r="K141" s="15"/>
      <c r="L141" s="4">
        <v>86573</v>
      </c>
      <c r="M141" s="15"/>
      <c r="N141" s="35">
        <v>0</v>
      </c>
      <c r="O141" s="15"/>
      <c r="P141" s="35">
        <v>0</v>
      </c>
      <c r="Q141" s="15"/>
      <c r="R141" s="4">
        <v>7507</v>
      </c>
      <c r="S141" s="15"/>
      <c r="T141" s="4">
        <v>124224</v>
      </c>
      <c r="U141" s="15"/>
      <c r="V141" s="4">
        <v>6312</v>
      </c>
      <c r="W141" s="15"/>
      <c r="X141" s="4">
        <v>0</v>
      </c>
      <c r="Y141" s="15"/>
      <c r="Z141" s="4">
        <v>36582</v>
      </c>
      <c r="AA141" s="15"/>
      <c r="AB141" s="4">
        <v>0</v>
      </c>
      <c r="AC141" s="15"/>
      <c r="AD141" s="4">
        <v>0</v>
      </c>
      <c r="AE141" s="15"/>
      <c r="AF141" s="4">
        <v>0</v>
      </c>
      <c r="AG141" s="15"/>
      <c r="AH141" s="4">
        <f>SUM(F141:AD141)</f>
        <v>4890453</v>
      </c>
    </row>
    <row r="142" spans="1:65" s="4" customFormat="1">
      <c r="A142" s="4">
        <v>99</v>
      </c>
      <c r="B142" s="4" t="s">
        <v>9</v>
      </c>
      <c r="D142" s="4" t="s">
        <v>10</v>
      </c>
      <c r="F142" s="4">
        <v>0</v>
      </c>
      <c r="H142" s="4">
        <v>0</v>
      </c>
      <c r="J142" s="4">
        <v>5904694</v>
      </c>
      <c r="L142" s="4">
        <v>237350</v>
      </c>
      <c r="N142" s="35">
        <v>0</v>
      </c>
      <c r="P142" s="4">
        <v>0</v>
      </c>
      <c r="R142" s="4">
        <v>0</v>
      </c>
      <c r="T142" s="4">
        <v>68403</v>
      </c>
      <c r="V142" s="4">
        <v>17321</v>
      </c>
      <c r="X142" s="4">
        <v>0</v>
      </c>
      <c r="Z142" s="4">
        <v>0</v>
      </c>
      <c r="AB142" s="4">
        <v>0</v>
      </c>
      <c r="AD142" s="4">
        <v>0</v>
      </c>
      <c r="AF142" s="4">
        <v>0</v>
      </c>
      <c r="AH142" s="4">
        <f>SUM(F142:AD142)</f>
        <v>6227768</v>
      </c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 spans="1:65" s="4" customFormat="1">
      <c r="A143" s="4">
        <v>89</v>
      </c>
      <c r="B143" s="35" t="s">
        <v>177</v>
      </c>
      <c r="C143" s="35"/>
      <c r="D143" s="35" t="s">
        <v>54</v>
      </c>
      <c r="E143" s="35"/>
      <c r="F143" s="35">
        <v>0</v>
      </c>
      <c r="G143" s="35"/>
      <c r="H143" s="35">
        <v>833866</v>
      </c>
      <c r="I143" s="35"/>
      <c r="J143" s="35">
        <v>0</v>
      </c>
      <c r="K143" s="35"/>
      <c r="L143" s="35">
        <v>36518</v>
      </c>
      <c r="M143" s="35"/>
      <c r="N143" s="35">
        <v>0</v>
      </c>
      <c r="O143" s="35"/>
      <c r="P143" s="35">
        <v>0</v>
      </c>
      <c r="Q143" s="35"/>
      <c r="R143" s="35">
        <v>7089</v>
      </c>
      <c r="S143" s="35"/>
      <c r="T143" s="35">
        <v>29491</v>
      </c>
      <c r="U143" s="35"/>
      <c r="V143" s="35">
        <v>1113</v>
      </c>
      <c r="W143" s="35"/>
      <c r="X143" s="35">
        <v>0</v>
      </c>
      <c r="Y143" s="35"/>
      <c r="Z143" s="35">
        <v>0</v>
      </c>
      <c r="AA143" s="35"/>
      <c r="AB143" s="35">
        <v>5208</v>
      </c>
      <c r="AC143" s="35"/>
      <c r="AD143" s="35">
        <v>0</v>
      </c>
      <c r="AE143" s="35"/>
      <c r="AF143" s="35">
        <v>0</v>
      </c>
      <c r="AG143" s="35"/>
      <c r="AH143" s="4">
        <f>SUM(F143:AF143)</f>
        <v>913285</v>
      </c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 spans="1:65" s="4" customFormat="1">
      <c r="A144" s="4">
        <v>170</v>
      </c>
      <c r="B144" s="4" t="s">
        <v>307</v>
      </c>
      <c r="D144" s="4" t="s">
        <v>51</v>
      </c>
      <c r="F144" s="35">
        <v>0</v>
      </c>
      <c r="H144" s="35">
        <v>324498</v>
      </c>
      <c r="J144" s="35">
        <v>0</v>
      </c>
      <c r="L144" s="35">
        <v>5793</v>
      </c>
      <c r="N144" s="35">
        <v>0</v>
      </c>
      <c r="P144" s="35">
        <v>0</v>
      </c>
      <c r="R144" s="35">
        <v>0</v>
      </c>
      <c r="T144" s="35">
        <v>72400</v>
      </c>
      <c r="V144" s="35">
        <v>5893</v>
      </c>
      <c r="X144" s="35">
        <v>0</v>
      </c>
      <c r="Z144" s="35">
        <v>0</v>
      </c>
      <c r="AB144" s="35">
        <v>0</v>
      </c>
      <c r="AD144" s="35">
        <v>0</v>
      </c>
      <c r="AF144" s="35">
        <v>0</v>
      </c>
      <c r="AH144" s="4">
        <f>SUM(F144:AF144)</f>
        <v>408584</v>
      </c>
    </row>
    <row r="145" spans="1:65">
      <c r="A145" s="4">
        <v>39</v>
      </c>
      <c r="B145" s="4" t="s">
        <v>178</v>
      </c>
      <c r="C145" s="4"/>
      <c r="D145" s="4" t="s">
        <v>51</v>
      </c>
      <c r="E145" s="4"/>
      <c r="F145" s="35">
        <v>0</v>
      </c>
      <c r="G145" s="4"/>
      <c r="H145" s="35">
        <v>547004</v>
      </c>
      <c r="I145" s="4"/>
      <c r="J145" s="35">
        <v>0</v>
      </c>
      <c r="K145" s="4"/>
      <c r="L145" s="35">
        <v>8081</v>
      </c>
      <c r="M145" s="4"/>
      <c r="N145" s="35">
        <v>0</v>
      </c>
      <c r="O145" s="4"/>
      <c r="P145" s="35">
        <v>0</v>
      </c>
      <c r="Q145" s="4"/>
      <c r="R145" s="35">
        <v>11346</v>
      </c>
      <c r="S145" s="4"/>
      <c r="T145" s="35">
        <v>71078</v>
      </c>
      <c r="U145" s="4"/>
      <c r="V145" s="35">
        <v>11686</v>
      </c>
      <c r="W145" s="4"/>
      <c r="X145" s="35">
        <v>0</v>
      </c>
      <c r="Y145" s="4"/>
      <c r="Z145" s="35">
        <v>0</v>
      </c>
      <c r="AA145" s="4"/>
      <c r="AB145" s="35">
        <v>0</v>
      </c>
      <c r="AC145" s="4"/>
      <c r="AD145" s="35">
        <v>0</v>
      </c>
      <c r="AE145" s="4"/>
      <c r="AF145" s="35">
        <v>0</v>
      </c>
      <c r="AG145" s="4"/>
      <c r="AH145" s="4">
        <f>SUM(F145:AF145)</f>
        <v>649195</v>
      </c>
    </row>
    <row r="146" spans="1:65">
      <c r="A146" s="4">
        <v>205</v>
      </c>
      <c r="B146" s="4" t="s">
        <v>179</v>
      </c>
      <c r="C146" s="4"/>
      <c r="D146" s="4" t="s">
        <v>60</v>
      </c>
      <c r="E146" s="4"/>
      <c r="F146" s="35">
        <v>0</v>
      </c>
      <c r="G146" s="4"/>
      <c r="H146" s="35">
        <v>171308</v>
      </c>
      <c r="I146" s="4"/>
      <c r="J146" s="35">
        <v>0</v>
      </c>
      <c r="K146" s="4"/>
      <c r="L146" s="35">
        <v>5630</v>
      </c>
      <c r="M146" s="4"/>
      <c r="N146" s="35">
        <v>0</v>
      </c>
      <c r="O146" s="4"/>
      <c r="P146" s="35">
        <v>918</v>
      </c>
      <c r="Q146" s="4"/>
      <c r="R146" s="35">
        <v>5182</v>
      </c>
      <c r="S146" s="4"/>
      <c r="T146" s="35">
        <v>369</v>
      </c>
      <c r="U146" s="4"/>
      <c r="V146" s="35">
        <v>201</v>
      </c>
      <c r="W146" s="4"/>
      <c r="X146" s="35">
        <v>0</v>
      </c>
      <c r="Y146" s="4"/>
      <c r="Z146" s="35">
        <v>0</v>
      </c>
      <c r="AA146" s="4"/>
      <c r="AB146" s="35">
        <v>0</v>
      </c>
      <c r="AC146" s="4"/>
      <c r="AD146" s="35">
        <v>0</v>
      </c>
      <c r="AE146" s="4"/>
      <c r="AF146" s="35">
        <v>0</v>
      </c>
      <c r="AG146" s="4"/>
      <c r="AH146" s="4">
        <f>SUM(F146:AF146)</f>
        <v>183608</v>
      </c>
    </row>
    <row r="147" spans="1:65">
      <c r="A147" s="4">
        <v>232</v>
      </c>
      <c r="B147" s="4" t="s">
        <v>574</v>
      </c>
      <c r="C147" s="4"/>
      <c r="D147" s="4" t="s">
        <v>41</v>
      </c>
      <c r="E147" s="4"/>
      <c r="F147" s="4">
        <v>467</v>
      </c>
      <c r="G147" s="4"/>
      <c r="H147" s="4">
        <v>3062718</v>
      </c>
      <c r="I147" s="4"/>
      <c r="J147" s="35">
        <v>0</v>
      </c>
      <c r="K147" s="4"/>
      <c r="L147" s="4">
        <v>118050</v>
      </c>
      <c r="M147" s="4"/>
      <c r="N147" s="35">
        <v>0</v>
      </c>
      <c r="O147" s="4"/>
      <c r="P147" s="4">
        <v>7250</v>
      </c>
      <c r="Q147" s="4"/>
      <c r="R147" s="4">
        <v>8111</v>
      </c>
      <c r="S147" s="4"/>
      <c r="T147" s="4">
        <v>5943</v>
      </c>
      <c r="U147" s="4"/>
      <c r="V147" s="4">
        <v>39744</v>
      </c>
      <c r="W147" s="4"/>
      <c r="X147" s="35">
        <v>0</v>
      </c>
      <c r="Y147" s="4"/>
      <c r="Z147" s="4">
        <v>760575</v>
      </c>
      <c r="AA147" s="4"/>
      <c r="AB147" s="35">
        <v>0</v>
      </c>
      <c r="AC147" s="4"/>
      <c r="AD147" s="35">
        <v>0</v>
      </c>
      <c r="AE147" s="4"/>
      <c r="AF147" s="35">
        <v>0</v>
      </c>
      <c r="AG147" s="4"/>
      <c r="AH147" s="4">
        <f>SUM(F147:AD147)</f>
        <v>4002858</v>
      </c>
    </row>
    <row r="148" spans="1:65" s="4" customFormat="1">
      <c r="A148" s="4">
        <v>228</v>
      </c>
      <c r="B148" s="4" t="s">
        <v>180</v>
      </c>
      <c r="D148" s="4" t="s">
        <v>97</v>
      </c>
      <c r="F148" s="35">
        <v>0</v>
      </c>
      <c r="H148" s="4">
        <v>3626600</v>
      </c>
      <c r="J148" s="35">
        <v>0</v>
      </c>
      <c r="L148" s="4">
        <v>79543</v>
      </c>
      <c r="N148" s="35">
        <v>0</v>
      </c>
      <c r="P148" s="4">
        <v>5606</v>
      </c>
      <c r="R148" s="35">
        <v>0</v>
      </c>
      <c r="T148" s="4">
        <v>50433</v>
      </c>
      <c r="V148" s="4">
        <v>14378</v>
      </c>
      <c r="X148" s="35">
        <v>0</v>
      </c>
      <c r="Z148" s="35">
        <v>0</v>
      </c>
      <c r="AB148" s="35">
        <v>0</v>
      </c>
      <c r="AD148" s="35">
        <v>0</v>
      </c>
      <c r="AF148" s="35">
        <v>0</v>
      </c>
      <c r="AH148" s="4">
        <f>SUM(F148:AD148)</f>
        <v>3776560</v>
      </c>
    </row>
    <row r="149" spans="1:65" s="14" customFormat="1">
      <c r="A149" s="4">
        <v>105</v>
      </c>
      <c r="B149" s="4" t="s">
        <v>575</v>
      </c>
      <c r="C149" s="4"/>
      <c r="D149" s="4" t="s">
        <v>87</v>
      </c>
      <c r="E149" s="4"/>
      <c r="F149" s="35">
        <v>0</v>
      </c>
      <c r="G149" s="4"/>
      <c r="H149" s="4">
        <v>1462383</v>
      </c>
      <c r="I149" s="4"/>
      <c r="J149" s="4">
        <v>21019</v>
      </c>
      <c r="K149" s="4"/>
      <c r="L149" s="4">
        <v>21792</v>
      </c>
      <c r="M149" s="4"/>
      <c r="N149" s="35">
        <v>0</v>
      </c>
      <c r="O149" s="4"/>
      <c r="P149" s="4">
        <v>43022</v>
      </c>
      <c r="Q149" s="4"/>
      <c r="R149" s="4">
        <v>1168</v>
      </c>
      <c r="S149" s="4"/>
      <c r="T149" s="4">
        <v>12136</v>
      </c>
      <c r="U149" s="4"/>
      <c r="V149" s="4">
        <v>42249</v>
      </c>
      <c r="W149" s="4"/>
      <c r="X149" s="35">
        <v>0</v>
      </c>
      <c r="Y149" s="4"/>
      <c r="Z149" s="35">
        <v>0</v>
      </c>
      <c r="AA149" s="4"/>
      <c r="AB149" s="35">
        <v>0</v>
      </c>
      <c r="AC149" s="4"/>
      <c r="AD149" s="35">
        <v>0</v>
      </c>
      <c r="AE149" s="4"/>
      <c r="AF149" s="35">
        <v>0</v>
      </c>
      <c r="AG149" s="4"/>
      <c r="AH149" s="4">
        <f>SUM(F149:AD149)</f>
        <v>1603769</v>
      </c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</row>
    <row r="150" spans="1:65" s="4" customFormat="1">
      <c r="A150" s="4">
        <v>182</v>
      </c>
      <c r="B150" s="4" t="s">
        <v>576</v>
      </c>
      <c r="D150" s="4" t="s">
        <v>181</v>
      </c>
      <c r="F150" s="4">
        <v>986895</v>
      </c>
      <c r="H150" s="35">
        <v>0</v>
      </c>
      <c r="J150" s="35">
        <v>0</v>
      </c>
      <c r="L150" s="4">
        <v>40783</v>
      </c>
      <c r="N150" s="35">
        <v>0</v>
      </c>
      <c r="P150" s="35">
        <v>0</v>
      </c>
      <c r="R150" s="4">
        <v>300</v>
      </c>
      <c r="T150" s="4">
        <v>116019</v>
      </c>
      <c r="V150" s="4">
        <v>13671</v>
      </c>
      <c r="X150" s="35">
        <v>0</v>
      </c>
      <c r="Z150" s="35">
        <v>0</v>
      </c>
      <c r="AB150" s="35">
        <v>0</v>
      </c>
      <c r="AD150" s="35">
        <v>0</v>
      </c>
      <c r="AF150" s="35">
        <v>0</v>
      </c>
      <c r="AH150" s="4">
        <f>SUM(F150:AD150)</f>
        <v>1157668</v>
      </c>
    </row>
    <row r="151" spans="1:65" s="4" customFormat="1">
      <c r="A151" s="4">
        <v>27</v>
      </c>
      <c r="B151" s="4" t="s">
        <v>11</v>
      </c>
      <c r="D151" s="4" t="s">
        <v>12</v>
      </c>
      <c r="F151" s="4">
        <v>373462</v>
      </c>
      <c r="H151" s="4">
        <v>598482</v>
      </c>
      <c r="J151" s="35">
        <v>0</v>
      </c>
      <c r="L151" s="4">
        <v>23687</v>
      </c>
      <c r="N151" s="35">
        <v>0</v>
      </c>
      <c r="P151" s="35">
        <v>0</v>
      </c>
      <c r="R151" s="4">
        <v>5195</v>
      </c>
      <c r="T151" s="4">
        <v>33922</v>
      </c>
      <c r="V151" s="4">
        <v>979</v>
      </c>
      <c r="X151" s="35">
        <v>0</v>
      </c>
      <c r="Z151" s="35">
        <v>0</v>
      </c>
      <c r="AB151" s="35">
        <v>0</v>
      </c>
      <c r="AD151" s="35">
        <v>0</v>
      </c>
      <c r="AF151" s="35">
        <v>0</v>
      </c>
      <c r="AH151" s="4">
        <f>SUM(F151:AD151)</f>
        <v>1035727</v>
      </c>
    </row>
    <row r="152" spans="1:65" s="4" customFormat="1">
      <c r="A152" s="4">
        <v>114</v>
      </c>
      <c r="B152" s="12" t="s">
        <v>565</v>
      </c>
      <c r="C152" s="12"/>
      <c r="D152" s="12" t="s">
        <v>83</v>
      </c>
      <c r="E152" s="12"/>
      <c r="F152" s="4">
        <v>1464</v>
      </c>
      <c r="G152" s="15"/>
      <c r="H152" s="4">
        <v>0</v>
      </c>
      <c r="I152" s="15"/>
      <c r="J152" s="4">
        <v>682615</v>
      </c>
      <c r="K152" s="15"/>
      <c r="L152" s="4">
        <v>17416</v>
      </c>
      <c r="M152" s="15"/>
      <c r="N152" s="4">
        <v>0</v>
      </c>
      <c r="O152" s="15"/>
      <c r="P152" s="4">
        <v>349</v>
      </c>
      <c r="Q152" s="15"/>
      <c r="R152" s="4">
        <v>5086</v>
      </c>
      <c r="S152" s="15"/>
      <c r="T152" s="4">
        <v>8118</v>
      </c>
      <c r="U152" s="15"/>
      <c r="V152" s="4">
        <v>909</v>
      </c>
      <c r="W152" s="15"/>
      <c r="X152" s="35">
        <v>0</v>
      </c>
      <c r="Y152" s="15"/>
      <c r="Z152" s="35">
        <v>0</v>
      </c>
      <c r="AA152" s="15"/>
      <c r="AB152" s="35">
        <v>0</v>
      </c>
      <c r="AC152" s="15"/>
      <c r="AD152" s="35">
        <v>0</v>
      </c>
      <c r="AE152" s="15"/>
      <c r="AF152" s="35">
        <v>0</v>
      </c>
      <c r="AG152" s="15"/>
      <c r="AH152" s="4">
        <f>SUM(F152:AD152)</f>
        <v>715957</v>
      </c>
    </row>
    <row r="153" spans="1:65">
      <c r="A153" s="4">
        <v>67</v>
      </c>
      <c r="B153" s="4" t="s">
        <v>182</v>
      </c>
      <c r="C153" s="4"/>
      <c r="D153" s="4" t="s">
        <v>57</v>
      </c>
      <c r="E153" s="4"/>
      <c r="F153" s="35">
        <v>0</v>
      </c>
      <c r="G153" s="4"/>
      <c r="H153" s="4">
        <v>4499902</v>
      </c>
      <c r="I153" s="4"/>
      <c r="J153" s="35">
        <v>0</v>
      </c>
      <c r="K153" s="4"/>
      <c r="L153" s="4">
        <f>120380+2555</f>
        <v>122935</v>
      </c>
      <c r="M153" s="4"/>
      <c r="N153" s="35">
        <v>0</v>
      </c>
      <c r="O153" s="4"/>
      <c r="P153" s="35">
        <v>0</v>
      </c>
      <c r="Q153" s="4"/>
      <c r="R153" s="4">
        <f>120+762</f>
        <v>882</v>
      </c>
      <c r="S153" s="4"/>
      <c r="T153" s="4">
        <v>82076</v>
      </c>
      <c r="U153" s="4"/>
      <c r="V153" s="4">
        <v>30545</v>
      </c>
      <c r="W153" s="4"/>
      <c r="X153" s="35">
        <v>0</v>
      </c>
      <c r="Y153" s="4"/>
      <c r="Z153" s="35">
        <v>0</v>
      </c>
      <c r="AA153" s="4"/>
      <c r="AB153" s="35">
        <v>0</v>
      </c>
      <c r="AC153" s="4"/>
      <c r="AD153" s="4">
        <v>720</v>
      </c>
      <c r="AE153" s="4"/>
      <c r="AF153" s="35">
        <v>0</v>
      </c>
      <c r="AG153" s="4"/>
      <c r="AH153" s="4">
        <f>SUM(F153:AD153)</f>
        <v>4737060</v>
      </c>
    </row>
    <row r="154" spans="1:65" s="4" customFormat="1">
      <c r="A154" s="4">
        <v>225</v>
      </c>
      <c r="B154" s="4" t="s">
        <v>308</v>
      </c>
      <c r="D154" s="4" t="s">
        <v>25</v>
      </c>
      <c r="F154" s="35">
        <v>670396</v>
      </c>
      <c r="H154" s="35">
        <v>0</v>
      </c>
      <c r="J154" s="35">
        <v>2500</v>
      </c>
      <c r="L154" s="35">
        <v>24530</v>
      </c>
      <c r="N154" s="35">
        <v>0</v>
      </c>
      <c r="P154" s="35">
        <v>11515</v>
      </c>
      <c r="R154" s="35">
        <v>5200</v>
      </c>
      <c r="T154" s="35">
        <v>1830</v>
      </c>
      <c r="V154" s="35">
        <v>1418</v>
      </c>
      <c r="X154" s="35">
        <v>3</v>
      </c>
      <c r="Z154" s="35">
        <v>0</v>
      </c>
      <c r="AB154" s="35">
        <v>0</v>
      </c>
      <c r="AD154" s="35">
        <v>0</v>
      </c>
      <c r="AF154" s="35">
        <v>0</v>
      </c>
      <c r="AH154" s="4">
        <f>SUM(F154:AF154)</f>
        <v>717392</v>
      </c>
    </row>
    <row r="155" spans="1:65" s="4" customFormat="1">
      <c r="A155" s="4">
        <v>224</v>
      </c>
      <c r="B155" s="4" t="s">
        <v>184</v>
      </c>
      <c r="D155" s="4" t="s">
        <v>15</v>
      </c>
      <c r="F155" s="4">
        <v>279357</v>
      </c>
      <c r="H155" s="35">
        <v>0</v>
      </c>
      <c r="J155" s="4">
        <v>835784</v>
      </c>
      <c r="L155" s="4">
        <v>34514</v>
      </c>
      <c r="N155" s="35">
        <v>0</v>
      </c>
      <c r="P155" s="35">
        <v>0</v>
      </c>
      <c r="R155" s="4">
        <v>12078</v>
      </c>
      <c r="T155" s="4">
        <v>44706</v>
      </c>
      <c r="V155" s="4">
        <v>2801</v>
      </c>
      <c r="X155" s="35">
        <v>0</v>
      </c>
      <c r="Z155" s="35">
        <v>0</v>
      </c>
      <c r="AB155" s="35">
        <v>0</v>
      </c>
      <c r="AD155" s="35">
        <v>0</v>
      </c>
      <c r="AF155" s="35">
        <v>0</v>
      </c>
      <c r="AH155" s="4">
        <f>SUM(F155:AD155)</f>
        <v>1209240</v>
      </c>
    </row>
    <row r="156" spans="1:65" s="4" customFormat="1">
      <c r="A156" s="4">
        <v>184</v>
      </c>
      <c r="B156" s="4" t="s">
        <v>603</v>
      </c>
      <c r="D156" s="4" t="s">
        <v>185</v>
      </c>
      <c r="F156" s="4">
        <v>3636362</v>
      </c>
      <c r="H156" s="4">
        <v>4413612</v>
      </c>
      <c r="J156" s="4">
        <v>211793</v>
      </c>
      <c r="L156" s="4">
        <v>213028</v>
      </c>
      <c r="N156" s="35">
        <v>0</v>
      </c>
      <c r="P156" s="4">
        <v>133120</v>
      </c>
      <c r="R156" s="4">
        <v>27275</v>
      </c>
      <c r="T156" s="4">
        <v>136993</v>
      </c>
      <c r="V156" s="4">
        <v>-2</v>
      </c>
      <c r="X156" s="35">
        <v>0</v>
      </c>
      <c r="Z156" s="35">
        <v>0</v>
      </c>
      <c r="AB156" s="35">
        <v>0</v>
      </c>
      <c r="AD156" s="35">
        <v>0</v>
      </c>
      <c r="AF156" s="35">
        <v>0</v>
      </c>
      <c r="AH156" s="4">
        <f>SUM(F156:AD156)</f>
        <v>8772181</v>
      </c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 spans="1:65" s="4" customFormat="1">
      <c r="A157" s="4">
        <v>212</v>
      </c>
      <c r="B157" s="4" t="s">
        <v>186</v>
      </c>
      <c r="D157" s="4" t="s">
        <v>102</v>
      </c>
      <c r="F157" s="35">
        <v>0</v>
      </c>
      <c r="H157" s="35">
        <v>60343</v>
      </c>
      <c r="J157" s="35">
        <v>0</v>
      </c>
      <c r="L157" s="35">
        <v>1011</v>
      </c>
      <c r="N157" s="35">
        <v>0</v>
      </c>
      <c r="P157" s="35">
        <v>0</v>
      </c>
      <c r="R157" s="35">
        <v>0</v>
      </c>
      <c r="T157" s="35">
        <v>24</v>
      </c>
      <c r="V157" s="35">
        <v>0</v>
      </c>
      <c r="X157" s="35">
        <v>0</v>
      </c>
      <c r="Z157" s="35">
        <v>0</v>
      </c>
      <c r="AB157" s="35">
        <v>0</v>
      </c>
      <c r="AD157" s="35">
        <v>0</v>
      </c>
      <c r="AF157" s="35">
        <v>0</v>
      </c>
      <c r="AH157" s="4">
        <f>SUM(F157:AF157)</f>
        <v>61378</v>
      </c>
    </row>
    <row r="158" spans="1:65">
      <c r="A158" s="4">
        <v>124</v>
      </c>
      <c r="B158" s="4" t="s">
        <v>187</v>
      </c>
      <c r="C158" s="4"/>
      <c r="D158" s="4" t="s">
        <v>188</v>
      </c>
      <c r="E158" s="4"/>
      <c r="F158" s="35">
        <v>0</v>
      </c>
      <c r="G158" s="4"/>
      <c r="H158" s="4">
        <v>2406827</v>
      </c>
      <c r="I158" s="4"/>
      <c r="J158" s="35">
        <v>0</v>
      </c>
      <c r="K158" s="4"/>
      <c r="L158" s="4">
        <v>62012</v>
      </c>
      <c r="M158" s="4"/>
      <c r="N158" s="35">
        <v>0</v>
      </c>
      <c r="O158" s="4"/>
      <c r="P158" s="35">
        <v>0</v>
      </c>
      <c r="Q158" s="4"/>
      <c r="R158" s="4">
        <v>12692</v>
      </c>
      <c r="S158" s="4"/>
      <c r="T158" s="4">
        <v>54953</v>
      </c>
      <c r="U158" s="4"/>
      <c r="V158" s="4">
        <v>58645</v>
      </c>
      <c r="W158" s="4"/>
      <c r="X158" s="35">
        <v>0</v>
      </c>
      <c r="Y158" s="4"/>
      <c r="Z158" s="35">
        <v>0</v>
      </c>
      <c r="AA158" s="4"/>
      <c r="AB158" s="35">
        <v>0</v>
      </c>
      <c r="AC158" s="4"/>
      <c r="AD158" s="35">
        <v>0</v>
      </c>
      <c r="AE158" s="4"/>
      <c r="AF158" s="35">
        <v>0</v>
      </c>
      <c r="AG158" s="4"/>
      <c r="AH158" s="4">
        <f>SUM(F158:AD158)</f>
        <v>2595129</v>
      </c>
    </row>
    <row r="159" spans="1:65">
      <c r="A159" s="4">
        <v>38</v>
      </c>
      <c r="B159" s="35" t="s">
        <v>430</v>
      </c>
      <c r="C159" s="35"/>
      <c r="D159" s="35" t="s">
        <v>13</v>
      </c>
      <c r="E159" s="35"/>
      <c r="F159" s="35">
        <v>0</v>
      </c>
      <c r="G159" s="35"/>
      <c r="H159" s="35">
        <v>1143723</v>
      </c>
      <c r="I159" s="35"/>
      <c r="J159" s="35">
        <v>0</v>
      </c>
      <c r="K159" s="35"/>
      <c r="L159" s="35">
        <v>33775</v>
      </c>
      <c r="M159" s="35"/>
      <c r="N159" s="35">
        <v>0</v>
      </c>
      <c r="O159" s="35"/>
      <c r="P159" s="35">
        <v>0</v>
      </c>
      <c r="Q159" s="35"/>
      <c r="R159" s="35">
        <v>11293</v>
      </c>
      <c r="S159" s="35"/>
      <c r="T159" s="35">
        <v>3783</v>
      </c>
      <c r="U159" s="35"/>
      <c r="V159" s="35">
        <v>10463</v>
      </c>
      <c r="W159" s="35"/>
      <c r="X159" s="35">
        <v>0</v>
      </c>
      <c r="Y159" s="35"/>
      <c r="Z159" s="35">
        <v>0</v>
      </c>
      <c r="AA159" s="35"/>
      <c r="AB159" s="35">
        <v>0</v>
      </c>
      <c r="AC159" s="35"/>
      <c r="AD159" s="35">
        <v>0</v>
      </c>
      <c r="AE159" s="35"/>
      <c r="AF159" s="35">
        <v>0</v>
      </c>
      <c r="AG159" s="35"/>
      <c r="AH159" s="4">
        <f>SUM(F159:AF159)</f>
        <v>1203037</v>
      </c>
    </row>
    <row r="160" spans="1:65" s="4" customFormat="1">
      <c r="N160" s="35"/>
      <c r="P160" s="35"/>
      <c r="R160" s="35"/>
      <c r="X160" s="35"/>
      <c r="Z160" s="35"/>
      <c r="AB160" s="35"/>
      <c r="AD160" s="35"/>
      <c r="AF160" s="3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 spans="1:65" s="4" customFormat="1">
      <c r="N161" s="35"/>
      <c r="P161" s="35"/>
      <c r="R161" s="35"/>
      <c r="X161" s="35"/>
      <c r="Z161" s="35"/>
      <c r="AB161" s="35"/>
      <c r="AD161" s="35"/>
      <c r="AF161" s="35"/>
      <c r="AH161" s="47" t="s">
        <v>593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 spans="1:65">
      <c r="B162" s="3" t="s">
        <v>523</v>
      </c>
    </row>
    <row r="163" spans="1:65">
      <c r="B163" s="3" t="s">
        <v>527</v>
      </c>
    </row>
    <row r="164" spans="1:65">
      <c r="B164" s="41" t="s">
        <v>7</v>
      </c>
    </row>
    <row r="165" spans="1:65" s="36" customFormat="1">
      <c r="H165" s="36" t="s">
        <v>282</v>
      </c>
    </row>
    <row r="166" spans="1:65" s="36" customFormat="1">
      <c r="F166" s="36" t="s">
        <v>31</v>
      </c>
      <c r="H166" s="36" t="s">
        <v>283</v>
      </c>
      <c r="P166" s="36" t="s">
        <v>29</v>
      </c>
      <c r="R166" s="36" t="s">
        <v>289</v>
      </c>
      <c r="X166" s="36" t="s">
        <v>294</v>
      </c>
      <c r="AD166" s="36" t="s">
        <v>0</v>
      </c>
    </row>
    <row r="167" spans="1:65" s="36" customFormat="1" ht="12" customHeight="1">
      <c r="F167" s="36" t="s">
        <v>0</v>
      </c>
      <c r="H167" s="36" t="s">
        <v>284</v>
      </c>
      <c r="J167" s="36" t="s">
        <v>348</v>
      </c>
      <c r="L167" s="36" t="s">
        <v>286</v>
      </c>
      <c r="P167" s="36" t="s">
        <v>288</v>
      </c>
      <c r="R167" s="36" t="s">
        <v>290</v>
      </c>
      <c r="T167" s="36" t="s">
        <v>292</v>
      </c>
      <c r="X167" s="36" t="s">
        <v>295</v>
      </c>
      <c r="AD167" s="36" t="s">
        <v>296</v>
      </c>
      <c r="AF167" s="36" t="s">
        <v>564</v>
      </c>
    </row>
    <row r="168" spans="1:65" s="36" customFormat="1" ht="12" customHeight="1">
      <c r="A168" s="36" t="s">
        <v>580</v>
      </c>
      <c r="B168" s="37" t="s">
        <v>5</v>
      </c>
      <c r="D168" s="37" t="s">
        <v>6</v>
      </c>
      <c r="F168" s="37" t="s">
        <v>281</v>
      </c>
      <c r="H168" s="37" t="s">
        <v>285</v>
      </c>
      <c r="J168" s="37" t="s">
        <v>349</v>
      </c>
      <c r="L168" s="37" t="s">
        <v>287</v>
      </c>
      <c r="N168" s="37" t="s">
        <v>560</v>
      </c>
      <c r="P168" s="37" t="s">
        <v>562</v>
      </c>
      <c r="R168" s="37" t="s">
        <v>291</v>
      </c>
      <c r="T168" s="37" t="s">
        <v>293</v>
      </c>
      <c r="V168" s="37" t="s">
        <v>1</v>
      </c>
      <c r="X168" s="37" t="s">
        <v>32</v>
      </c>
      <c r="Z168" s="37" t="s">
        <v>509</v>
      </c>
      <c r="AB168" s="37" t="s">
        <v>510</v>
      </c>
      <c r="AD168" s="37" t="s">
        <v>297</v>
      </c>
      <c r="AF168" s="37" t="s">
        <v>424</v>
      </c>
      <c r="AH168" s="49" t="s">
        <v>28</v>
      </c>
    </row>
    <row r="169" spans="1:65" s="4" customFormat="1">
      <c r="A169" s="4">
        <v>209</v>
      </c>
      <c r="B169" s="38" t="s">
        <v>189</v>
      </c>
      <c r="C169" s="38"/>
      <c r="D169" s="38" t="s">
        <v>185</v>
      </c>
      <c r="E169" s="38"/>
      <c r="F169" s="38">
        <v>0</v>
      </c>
      <c r="G169" s="38"/>
      <c r="H169" s="38">
        <v>533450</v>
      </c>
      <c r="I169" s="38"/>
      <c r="J169" s="38">
        <v>0</v>
      </c>
      <c r="K169" s="38"/>
      <c r="L169" s="38">
        <v>22892</v>
      </c>
      <c r="M169" s="38"/>
      <c r="N169" s="38">
        <v>0</v>
      </c>
      <c r="O169" s="38"/>
      <c r="P169" s="38">
        <v>0</v>
      </c>
      <c r="Q169" s="38"/>
      <c r="R169" s="38">
        <v>4180</v>
      </c>
      <c r="S169" s="38"/>
      <c r="T169" s="38">
        <v>34725</v>
      </c>
      <c r="U169" s="38"/>
      <c r="V169" s="38">
        <v>272</v>
      </c>
      <c r="W169" s="38"/>
      <c r="X169" s="38">
        <v>147</v>
      </c>
      <c r="Y169" s="38"/>
      <c r="Z169" s="38">
        <v>0</v>
      </c>
      <c r="AA169" s="38"/>
      <c r="AB169" s="38">
        <v>0</v>
      </c>
      <c r="AC169" s="38"/>
      <c r="AD169" s="38">
        <v>0</v>
      </c>
      <c r="AE169" s="38"/>
      <c r="AF169" s="38">
        <v>0</v>
      </c>
      <c r="AG169" s="38"/>
      <c r="AH169" s="7">
        <f>SUM(F169:AF169)</f>
        <v>595666</v>
      </c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</row>
    <row r="170" spans="1:65" s="4" customFormat="1">
      <c r="A170" s="4">
        <v>23</v>
      </c>
      <c r="B170" s="35" t="s">
        <v>190</v>
      </c>
      <c r="C170" s="35"/>
      <c r="D170" s="35" t="s">
        <v>54</v>
      </c>
      <c r="E170" s="35"/>
      <c r="F170" s="35">
        <v>0</v>
      </c>
      <c r="G170" s="35"/>
      <c r="H170" s="35">
        <v>684919</v>
      </c>
      <c r="I170" s="35"/>
      <c r="J170" s="35">
        <v>900</v>
      </c>
      <c r="K170" s="35"/>
      <c r="L170" s="35">
        <v>17473</v>
      </c>
      <c r="M170" s="35"/>
      <c r="N170" s="35">
        <v>0</v>
      </c>
      <c r="O170" s="35"/>
      <c r="P170" s="35">
        <v>0</v>
      </c>
      <c r="Q170" s="35"/>
      <c r="R170" s="35">
        <v>8009</v>
      </c>
      <c r="S170" s="35"/>
      <c r="T170" s="35">
        <v>14811</v>
      </c>
      <c r="U170" s="35"/>
      <c r="V170" s="35">
        <v>1637</v>
      </c>
      <c r="W170" s="35"/>
      <c r="X170" s="35">
        <v>0</v>
      </c>
      <c r="Y170" s="35"/>
      <c r="Z170" s="35">
        <v>0</v>
      </c>
      <c r="AA170" s="35"/>
      <c r="AB170" s="35">
        <v>0</v>
      </c>
      <c r="AC170" s="35"/>
      <c r="AD170" s="35">
        <v>0</v>
      </c>
      <c r="AE170" s="35"/>
      <c r="AF170" s="35">
        <v>0</v>
      </c>
      <c r="AG170" s="35"/>
      <c r="AH170" s="4">
        <f>SUM(F170:AF170)</f>
        <v>727749</v>
      </c>
    </row>
    <row r="171" spans="1:65" s="4" customFormat="1">
      <c r="A171" s="4">
        <v>241</v>
      </c>
      <c r="B171" s="4" t="s">
        <v>191</v>
      </c>
      <c r="D171" s="4" t="s">
        <v>61</v>
      </c>
      <c r="F171" s="35">
        <v>0</v>
      </c>
      <c r="H171" s="35">
        <v>548051</v>
      </c>
      <c r="J171" s="35">
        <v>0</v>
      </c>
      <c r="L171" s="35">
        <v>18667</v>
      </c>
      <c r="N171" s="35">
        <v>0</v>
      </c>
      <c r="P171" s="35">
        <v>0</v>
      </c>
      <c r="R171" s="35">
        <v>4323</v>
      </c>
      <c r="T171" s="35">
        <v>175278</v>
      </c>
      <c r="V171" s="35">
        <v>22132</v>
      </c>
      <c r="X171" s="35">
        <v>0</v>
      </c>
      <c r="Z171" s="35">
        <v>0</v>
      </c>
      <c r="AB171" s="35">
        <v>0</v>
      </c>
      <c r="AD171" s="35">
        <v>0</v>
      </c>
      <c r="AF171" s="35">
        <v>1499</v>
      </c>
      <c r="AH171" s="4">
        <f>SUM(F171:AF171)</f>
        <v>769950</v>
      </c>
    </row>
    <row r="172" spans="1:65" s="4" customFormat="1">
      <c r="A172" s="4">
        <v>246</v>
      </c>
      <c r="B172" s="4" t="s">
        <v>192</v>
      </c>
      <c r="D172" s="4" t="s">
        <v>193</v>
      </c>
      <c r="F172" s="4">
        <v>578371</v>
      </c>
      <c r="H172" s="4">
        <v>740691</v>
      </c>
      <c r="J172" s="4">
        <v>216796</v>
      </c>
      <c r="L172" s="4">
        <v>60332</v>
      </c>
      <c r="N172" s="35">
        <v>0</v>
      </c>
      <c r="P172" s="35">
        <v>0</v>
      </c>
      <c r="R172" s="4">
        <v>31652</v>
      </c>
      <c r="T172" s="4">
        <v>13989</v>
      </c>
      <c r="V172" s="35">
        <v>0</v>
      </c>
      <c r="X172" s="35">
        <v>0</v>
      </c>
      <c r="Z172" s="35">
        <v>0</v>
      </c>
      <c r="AB172" s="35">
        <v>0</v>
      </c>
      <c r="AD172" s="35">
        <v>0</v>
      </c>
      <c r="AF172" s="35">
        <v>0</v>
      </c>
      <c r="AH172" s="4">
        <f>SUM(F172:AD172)</f>
        <v>1641831</v>
      </c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</row>
    <row r="173" spans="1:65" s="4" customFormat="1">
      <c r="A173" s="4">
        <v>157</v>
      </c>
      <c r="B173" s="35" t="s">
        <v>194</v>
      </c>
      <c r="C173" s="35"/>
      <c r="D173" s="35" t="s">
        <v>54</v>
      </c>
      <c r="E173" s="35"/>
      <c r="F173" s="35">
        <v>0</v>
      </c>
      <c r="G173" s="35"/>
      <c r="H173" s="35">
        <v>1226452</v>
      </c>
      <c r="I173" s="35"/>
      <c r="J173" s="35">
        <v>0</v>
      </c>
      <c r="K173" s="35"/>
      <c r="L173" s="35">
        <v>48442</v>
      </c>
      <c r="M173" s="35"/>
      <c r="N173" s="35">
        <v>0</v>
      </c>
      <c r="O173" s="35"/>
      <c r="P173" s="35">
        <v>0</v>
      </c>
      <c r="Q173" s="35"/>
      <c r="R173" s="35">
        <v>3788</v>
      </c>
      <c r="S173" s="35"/>
      <c r="T173" s="35">
        <v>55600</v>
      </c>
      <c r="U173" s="35"/>
      <c r="V173" s="35">
        <v>14355</v>
      </c>
      <c r="W173" s="35"/>
      <c r="X173" s="35">
        <v>0</v>
      </c>
      <c r="Y173" s="35"/>
      <c r="Z173" s="35">
        <v>0</v>
      </c>
      <c r="AA173" s="35"/>
      <c r="AB173" s="35">
        <v>0</v>
      </c>
      <c r="AC173" s="35"/>
      <c r="AD173" s="35">
        <v>0</v>
      </c>
      <c r="AE173" s="35"/>
      <c r="AF173" s="35">
        <v>0</v>
      </c>
      <c r="AG173" s="35"/>
      <c r="AH173" s="4">
        <f>SUM(F173:AF173)</f>
        <v>1348637</v>
      </c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</row>
    <row r="174" spans="1:65" s="4" customFormat="1">
      <c r="A174" s="4">
        <v>43</v>
      </c>
      <c r="B174" s="35" t="s">
        <v>460</v>
      </c>
      <c r="C174" s="35"/>
      <c r="D174" s="35" t="s">
        <v>25</v>
      </c>
      <c r="E174" s="35"/>
      <c r="F174" s="35">
        <v>759668</v>
      </c>
      <c r="G174" s="35"/>
      <c r="H174" s="35">
        <v>1563735</v>
      </c>
      <c r="I174" s="35"/>
      <c r="J174" s="35">
        <v>111906</v>
      </c>
      <c r="K174" s="35"/>
      <c r="L174" s="35">
        <v>44642</v>
      </c>
      <c r="M174" s="35"/>
      <c r="N174" s="35">
        <v>0</v>
      </c>
      <c r="O174" s="35"/>
      <c r="P174" s="35">
        <v>0</v>
      </c>
      <c r="Q174" s="35"/>
      <c r="R174" s="35">
        <v>10665</v>
      </c>
      <c r="S174" s="35"/>
      <c r="T174" s="35">
        <v>19861</v>
      </c>
      <c r="U174" s="35"/>
      <c r="V174" s="35">
        <v>32967</v>
      </c>
      <c r="W174" s="35"/>
      <c r="X174" s="35">
        <v>0</v>
      </c>
      <c r="Y174" s="35"/>
      <c r="Z174" s="35">
        <v>0</v>
      </c>
      <c r="AA174" s="35"/>
      <c r="AB174" s="35">
        <v>0</v>
      </c>
      <c r="AC174" s="35"/>
      <c r="AD174" s="35">
        <v>0</v>
      </c>
      <c r="AE174" s="35"/>
      <c r="AF174" s="35">
        <v>0</v>
      </c>
      <c r="AG174" s="35"/>
      <c r="AH174" s="4">
        <f>SUM(F174:AF174)</f>
        <v>2543444</v>
      </c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</row>
    <row r="175" spans="1:65" s="4" customFormat="1">
      <c r="A175" s="4">
        <v>28</v>
      </c>
      <c r="B175" s="3" t="s">
        <v>340</v>
      </c>
      <c r="D175" s="4" t="s">
        <v>139</v>
      </c>
      <c r="F175" s="35">
        <v>0</v>
      </c>
      <c r="H175" s="35">
        <v>308871</v>
      </c>
      <c r="J175" s="35">
        <v>0</v>
      </c>
      <c r="L175" s="35">
        <v>8773</v>
      </c>
      <c r="N175" s="35">
        <v>0</v>
      </c>
      <c r="P175" s="35">
        <v>0</v>
      </c>
      <c r="R175" s="35">
        <v>55967</v>
      </c>
      <c r="T175" s="35">
        <v>446</v>
      </c>
      <c r="V175" s="35">
        <v>627</v>
      </c>
      <c r="X175" s="35">
        <v>0</v>
      </c>
      <c r="Z175" s="35">
        <v>0</v>
      </c>
      <c r="AB175" s="35">
        <v>0</v>
      </c>
      <c r="AD175" s="35">
        <v>0</v>
      </c>
      <c r="AF175" s="35">
        <v>0</v>
      </c>
      <c r="AH175" s="4">
        <f>SUM(F175:AF175)</f>
        <v>374684</v>
      </c>
    </row>
    <row r="176" spans="1:65" s="4" customFormat="1">
      <c r="A176" s="4">
        <v>113</v>
      </c>
      <c r="B176" s="4" t="s">
        <v>440</v>
      </c>
      <c r="D176" s="4" t="s">
        <v>56</v>
      </c>
      <c r="F176" s="35">
        <v>0</v>
      </c>
      <c r="H176" s="4">
        <v>1055724</v>
      </c>
      <c r="J176" s="4">
        <v>1250</v>
      </c>
      <c r="L176" s="4">
        <v>27917</v>
      </c>
      <c r="N176" s="35">
        <v>0</v>
      </c>
      <c r="P176" s="35">
        <v>0</v>
      </c>
      <c r="R176" s="4">
        <v>17996</v>
      </c>
      <c r="T176" s="4">
        <v>15267</v>
      </c>
      <c r="V176" s="4">
        <v>30473</v>
      </c>
      <c r="X176" s="35">
        <v>0</v>
      </c>
      <c r="Z176" s="35">
        <v>0</v>
      </c>
      <c r="AB176" s="35">
        <v>0</v>
      </c>
      <c r="AD176" s="35">
        <v>0</v>
      </c>
      <c r="AF176" s="35">
        <v>0</v>
      </c>
      <c r="AH176" s="4">
        <f>SUM(F176:AD176)</f>
        <v>1148627</v>
      </c>
    </row>
    <row r="177" spans="1:65" s="4" customFormat="1">
      <c r="A177" s="4">
        <v>136</v>
      </c>
      <c r="B177" s="35" t="s">
        <v>196</v>
      </c>
      <c r="C177" s="35"/>
      <c r="D177" s="35" t="s">
        <v>62</v>
      </c>
      <c r="E177" s="35"/>
      <c r="F177" s="35">
        <v>0</v>
      </c>
      <c r="G177" s="35"/>
      <c r="H177" s="35">
        <v>306630</v>
      </c>
      <c r="I177" s="35"/>
      <c r="J177" s="35">
        <v>0</v>
      </c>
      <c r="K177" s="35"/>
      <c r="L177" s="35">
        <v>7836</v>
      </c>
      <c r="M177" s="35"/>
      <c r="N177" s="35">
        <v>0</v>
      </c>
      <c r="O177" s="35"/>
      <c r="P177" s="35">
        <v>0</v>
      </c>
      <c r="Q177" s="35"/>
      <c r="R177" s="35">
        <v>5619</v>
      </c>
      <c r="S177" s="35"/>
      <c r="T177" s="35">
        <v>1213</v>
      </c>
      <c r="U177" s="35"/>
      <c r="V177" s="35">
        <v>1550</v>
      </c>
      <c r="W177" s="35"/>
      <c r="X177" s="35">
        <v>0</v>
      </c>
      <c r="Y177" s="35"/>
      <c r="Z177" s="35">
        <v>0</v>
      </c>
      <c r="AA177" s="35"/>
      <c r="AB177" s="35">
        <v>0</v>
      </c>
      <c r="AC177" s="35"/>
      <c r="AD177" s="35">
        <v>0</v>
      </c>
      <c r="AE177" s="35"/>
      <c r="AF177" s="35">
        <v>0</v>
      </c>
      <c r="AG177" s="35"/>
      <c r="AH177" s="4">
        <f>SUM(F177:AF177)</f>
        <v>322848</v>
      </c>
    </row>
    <row r="178" spans="1:65" s="4" customFormat="1">
      <c r="A178" s="4">
        <v>160</v>
      </c>
      <c r="B178" s="7" t="s">
        <v>604</v>
      </c>
      <c r="C178" s="7"/>
      <c r="D178" s="7" t="s">
        <v>20</v>
      </c>
      <c r="E178" s="7"/>
      <c r="F178" s="4">
        <v>4833935</v>
      </c>
      <c r="H178" s="4">
        <v>3833850</v>
      </c>
      <c r="J178" s="35">
        <v>0</v>
      </c>
      <c r="L178" s="4">
        <v>149009</v>
      </c>
      <c r="N178" s="35">
        <v>0</v>
      </c>
      <c r="P178" s="35">
        <v>0</v>
      </c>
      <c r="R178" s="4">
        <v>8820</v>
      </c>
      <c r="T178" s="4">
        <v>116993</v>
      </c>
      <c r="V178" s="4">
        <v>26982</v>
      </c>
      <c r="X178" s="35">
        <v>0</v>
      </c>
      <c r="Z178" s="35">
        <v>0</v>
      </c>
      <c r="AB178" s="35">
        <v>0</v>
      </c>
      <c r="AD178" s="35">
        <v>0</v>
      </c>
      <c r="AF178" s="35">
        <v>0</v>
      </c>
      <c r="AH178" s="4">
        <f>SUM(F178:AD178)</f>
        <v>8969589</v>
      </c>
    </row>
    <row r="179" spans="1:65" s="4" customFormat="1">
      <c r="A179" s="4">
        <v>190</v>
      </c>
      <c r="B179" s="35" t="s">
        <v>490</v>
      </c>
      <c r="C179" s="35"/>
      <c r="D179" s="35" t="s">
        <v>433</v>
      </c>
      <c r="E179" s="35"/>
      <c r="F179" s="35">
        <v>0</v>
      </c>
      <c r="G179" s="35"/>
      <c r="H179" s="35">
        <v>859911</v>
      </c>
      <c r="I179" s="35"/>
      <c r="J179" s="35">
        <v>0</v>
      </c>
      <c r="K179" s="35"/>
      <c r="L179" s="35">
        <v>17738</v>
      </c>
      <c r="M179" s="35"/>
      <c r="N179" s="35">
        <v>0</v>
      </c>
      <c r="O179" s="35"/>
      <c r="P179" s="35">
        <v>0</v>
      </c>
      <c r="Q179" s="35"/>
      <c r="R179" s="35">
        <v>3246</v>
      </c>
      <c r="S179" s="35"/>
      <c r="T179" s="35">
        <v>27927</v>
      </c>
      <c r="U179" s="35"/>
      <c r="V179" s="35">
        <v>23751</v>
      </c>
      <c r="W179" s="35"/>
      <c r="X179" s="35">
        <v>0</v>
      </c>
      <c r="Y179" s="35"/>
      <c r="Z179" s="35">
        <v>0</v>
      </c>
      <c r="AA179" s="35"/>
      <c r="AB179" s="35">
        <v>0</v>
      </c>
      <c r="AC179" s="35"/>
      <c r="AD179" s="35">
        <v>0</v>
      </c>
      <c r="AE179" s="35"/>
      <c r="AF179" s="35">
        <v>0</v>
      </c>
      <c r="AG179" s="35"/>
      <c r="AH179" s="4">
        <f>SUM(F179:AF179)</f>
        <v>932573</v>
      </c>
    </row>
    <row r="180" spans="1:65" s="4" customFormat="1">
      <c r="A180" s="4">
        <v>149</v>
      </c>
      <c r="B180" s="4" t="s">
        <v>14</v>
      </c>
      <c r="D180" s="4" t="s">
        <v>15</v>
      </c>
      <c r="F180" s="4">
        <v>1137567</v>
      </c>
      <c r="H180" s="4">
        <v>1765942</v>
      </c>
      <c r="J180" s="35">
        <v>0</v>
      </c>
      <c r="L180" s="4">
        <v>76357</v>
      </c>
      <c r="N180" s="35">
        <v>0</v>
      </c>
      <c r="P180" s="4">
        <v>6411</v>
      </c>
      <c r="R180" s="4">
        <v>14514</v>
      </c>
      <c r="T180" s="4">
        <v>24098</v>
      </c>
      <c r="V180" s="4">
        <v>3330</v>
      </c>
      <c r="X180" s="35">
        <v>0</v>
      </c>
      <c r="Z180" s="35">
        <v>0</v>
      </c>
      <c r="AB180" s="35">
        <v>0</v>
      </c>
      <c r="AD180" s="35">
        <v>0</v>
      </c>
      <c r="AF180" s="35">
        <v>0</v>
      </c>
      <c r="AH180" s="4">
        <f>SUM(F180:AD180)</f>
        <v>3028219</v>
      </c>
    </row>
    <row r="181" spans="1:65" s="4" customFormat="1">
      <c r="A181" s="4">
        <v>128</v>
      </c>
      <c r="B181" s="35" t="s">
        <v>605</v>
      </c>
      <c r="C181" s="35"/>
      <c r="D181" s="35" t="s">
        <v>50</v>
      </c>
      <c r="E181" s="35"/>
      <c r="F181" s="35">
        <v>0</v>
      </c>
      <c r="G181" s="35"/>
      <c r="H181" s="35">
        <v>949600</v>
      </c>
      <c r="I181" s="35"/>
      <c r="J181" s="35">
        <v>995</v>
      </c>
      <c r="K181" s="35"/>
      <c r="L181" s="35">
        <v>10969</v>
      </c>
      <c r="M181" s="35"/>
      <c r="N181" s="35">
        <v>0</v>
      </c>
      <c r="O181" s="35"/>
      <c r="P181" s="35">
        <v>0</v>
      </c>
      <c r="Q181" s="35"/>
      <c r="R181" s="35">
        <v>30</v>
      </c>
      <c r="S181" s="35"/>
      <c r="T181" s="35">
        <v>4941</v>
      </c>
      <c r="U181" s="35"/>
      <c r="V181" s="35">
        <v>10699</v>
      </c>
      <c r="W181" s="35"/>
      <c r="X181" s="35">
        <v>0</v>
      </c>
      <c r="Y181" s="35"/>
      <c r="Z181" s="35">
        <v>0</v>
      </c>
      <c r="AA181" s="35"/>
      <c r="AB181" s="35">
        <v>0</v>
      </c>
      <c r="AC181" s="35"/>
      <c r="AD181" s="35">
        <v>0</v>
      </c>
      <c r="AE181" s="35"/>
      <c r="AF181" s="35">
        <v>0</v>
      </c>
      <c r="AG181" s="35"/>
      <c r="AH181" s="4">
        <f>SUM(F181:AF181)</f>
        <v>977234</v>
      </c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</row>
    <row r="182" spans="1:65" s="4" customFormat="1">
      <c r="A182" s="4">
        <v>110</v>
      </c>
      <c r="B182" s="4" t="s">
        <v>197</v>
      </c>
      <c r="D182" s="4" t="s">
        <v>10</v>
      </c>
      <c r="F182" s="4">
        <v>5472365</v>
      </c>
      <c r="H182" s="4">
        <v>0</v>
      </c>
      <c r="J182" s="4">
        <v>0</v>
      </c>
      <c r="L182" s="4">
        <v>243679</v>
      </c>
      <c r="N182" s="35">
        <v>0</v>
      </c>
      <c r="P182" s="4">
        <v>20690</v>
      </c>
      <c r="R182" s="4">
        <v>20119</v>
      </c>
      <c r="T182" s="4">
        <v>184751</v>
      </c>
      <c r="V182" s="4">
        <v>37526</v>
      </c>
      <c r="X182" s="4">
        <v>0</v>
      </c>
      <c r="Z182" s="4">
        <v>0</v>
      </c>
      <c r="AB182" s="4">
        <v>0</v>
      </c>
      <c r="AD182" s="4">
        <v>0</v>
      </c>
      <c r="AF182" s="4">
        <v>0</v>
      </c>
      <c r="AH182" s="4">
        <f>SUM(F182:AD182)</f>
        <v>5979130</v>
      </c>
    </row>
    <row r="183" spans="1:65" s="4" customFormat="1">
      <c r="A183" s="4">
        <v>253</v>
      </c>
      <c r="B183" s="4" t="s">
        <v>198</v>
      </c>
      <c r="D183" s="4" t="s">
        <v>167</v>
      </c>
      <c r="F183" s="35">
        <v>334473</v>
      </c>
      <c r="H183" s="35">
        <v>412097</v>
      </c>
      <c r="J183" s="35">
        <v>45162</v>
      </c>
      <c r="L183" s="35">
        <v>16455</v>
      </c>
      <c r="N183" s="35">
        <v>0</v>
      </c>
      <c r="P183" s="35">
        <v>15</v>
      </c>
      <c r="R183" s="35">
        <v>1079</v>
      </c>
      <c r="T183" s="35">
        <v>23867</v>
      </c>
      <c r="V183" s="35">
        <v>89</v>
      </c>
      <c r="X183" s="35">
        <v>0</v>
      </c>
      <c r="Z183" s="35">
        <v>0</v>
      </c>
      <c r="AB183" s="35">
        <v>0</v>
      </c>
      <c r="AD183" s="35">
        <v>0</v>
      </c>
      <c r="AF183" s="35">
        <v>1040</v>
      </c>
      <c r="AH183" s="4">
        <f>SUM(F183:AF183)</f>
        <v>834277</v>
      </c>
    </row>
    <row r="184" spans="1:65" s="4" customFormat="1">
      <c r="A184" s="4">
        <v>1</v>
      </c>
      <c r="B184" s="4" t="s">
        <v>199</v>
      </c>
      <c r="D184" s="4" t="s">
        <v>53</v>
      </c>
      <c r="F184" s="35">
        <v>0</v>
      </c>
      <c r="H184" s="35">
        <v>418987</v>
      </c>
      <c r="J184" s="35">
        <v>0</v>
      </c>
      <c r="L184" s="35">
        <v>11507</v>
      </c>
      <c r="N184" s="35">
        <v>0</v>
      </c>
      <c r="P184" s="35">
        <v>0</v>
      </c>
      <c r="R184" s="35">
        <v>22188</v>
      </c>
      <c r="T184" s="35">
        <v>13547</v>
      </c>
      <c r="V184" s="35">
        <v>13358</v>
      </c>
      <c r="X184" s="35">
        <v>0</v>
      </c>
      <c r="Z184" s="35">
        <v>0</v>
      </c>
      <c r="AB184" s="35">
        <v>0</v>
      </c>
      <c r="AD184" s="35">
        <v>0</v>
      </c>
      <c r="AF184" s="35">
        <v>0</v>
      </c>
      <c r="AH184" s="4">
        <f>SUM(F184:AF184)</f>
        <v>479587</v>
      </c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</row>
    <row r="185" spans="1:65" s="4" customFormat="1">
      <c r="A185" s="4">
        <v>73</v>
      </c>
      <c r="B185" s="4" t="s">
        <v>200</v>
      </c>
      <c r="D185" s="4" t="s">
        <v>25</v>
      </c>
      <c r="F185" s="35">
        <v>0</v>
      </c>
      <c r="H185" s="35">
        <v>830420</v>
      </c>
      <c r="J185" s="35">
        <v>2500</v>
      </c>
      <c r="L185" s="35">
        <v>24080</v>
      </c>
      <c r="N185" s="35">
        <v>0</v>
      </c>
      <c r="P185" s="35">
        <v>0</v>
      </c>
      <c r="R185" s="35">
        <v>6349</v>
      </c>
      <c r="T185" s="35">
        <v>4449</v>
      </c>
      <c r="V185" s="35">
        <v>1776</v>
      </c>
      <c r="X185" s="35">
        <v>0</v>
      </c>
      <c r="Z185" s="35">
        <v>0</v>
      </c>
      <c r="AB185" s="35">
        <v>0</v>
      </c>
      <c r="AD185" s="35">
        <v>0</v>
      </c>
      <c r="AF185" s="35">
        <v>0</v>
      </c>
      <c r="AH185" s="4">
        <f>SUM(F185:AF185)</f>
        <v>869574</v>
      </c>
    </row>
    <row r="186" spans="1:65" s="4" customFormat="1">
      <c r="A186" s="4">
        <v>163</v>
      </c>
      <c r="B186" s="4" t="s">
        <v>309</v>
      </c>
      <c r="D186" s="4" t="s">
        <v>63</v>
      </c>
      <c r="F186" s="35">
        <v>0</v>
      </c>
      <c r="H186" s="35">
        <v>239019</v>
      </c>
      <c r="J186" s="35">
        <v>800</v>
      </c>
      <c r="L186" s="35">
        <v>8860</v>
      </c>
      <c r="N186" s="35">
        <v>0</v>
      </c>
      <c r="P186" s="35">
        <v>0</v>
      </c>
      <c r="R186" s="35">
        <v>3638</v>
      </c>
      <c r="T186" s="35">
        <v>985</v>
      </c>
      <c r="V186" s="35">
        <v>1352</v>
      </c>
      <c r="X186" s="35">
        <v>0</v>
      </c>
      <c r="Z186" s="35">
        <v>0</v>
      </c>
      <c r="AB186" s="35">
        <v>0</v>
      </c>
      <c r="AD186" s="35">
        <v>0</v>
      </c>
      <c r="AF186" s="35">
        <v>0</v>
      </c>
      <c r="AH186" s="4">
        <f>SUM(F186:AF186)</f>
        <v>254654</v>
      </c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 spans="1:65" s="4" customFormat="1">
      <c r="A187" s="4">
        <v>146</v>
      </c>
      <c r="B187" s="35" t="s">
        <v>508</v>
      </c>
      <c r="C187" s="35"/>
      <c r="D187" s="35" t="s">
        <v>64</v>
      </c>
      <c r="E187" s="35"/>
      <c r="F187" s="35">
        <v>0</v>
      </c>
      <c r="G187" s="35"/>
      <c r="H187" s="35">
        <v>559062</v>
      </c>
      <c r="I187" s="35"/>
      <c r="J187" s="35">
        <v>0</v>
      </c>
      <c r="K187" s="35"/>
      <c r="L187" s="35">
        <v>17028</v>
      </c>
      <c r="M187" s="35"/>
      <c r="N187" s="35">
        <v>0</v>
      </c>
      <c r="O187" s="35"/>
      <c r="P187" s="35">
        <v>0</v>
      </c>
      <c r="Q187" s="35"/>
      <c r="R187" s="35">
        <v>50</v>
      </c>
      <c r="S187" s="35"/>
      <c r="T187" s="35">
        <v>685</v>
      </c>
      <c r="U187" s="35"/>
      <c r="V187" s="35">
        <v>1691</v>
      </c>
      <c r="W187" s="35"/>
      <c r="X187" s="35">
        <v>0</v>
      </c>
      <c r="Y187" s="35"/>
      <c r="Z187" s="35">
        <v>0</v>
      </c>
      <c r="AA187" s="35"/>
      <c r="AB187" s="35">
        <v>0</v>
      </c>
      <c r="AC187" s="35"/>
      <c r="AD187" s="35">
        <v>0</v>
      </c>
      <c r="AE187" s="35"/>
      <c r="AF187" s="35">
        <v>0</v>
      </c>
      <c r="AG187" s="35"/>
      <c r="AH187" s="4">
        <f>SUM(F187:AF187)</f>
        <v>578516</v>
      </c>
    </row>
    <row r="188" spans="1:65" s="4" customFormat="1">
      <c r="A188" s="4">
        <v>227</v>
      </c>
      <c r="B188" s="4" t="s">
        <v>202</v>
      </c>
      <c r="D188" s="4" t="s">
        <v>89</v>
      </c>
      <c r="F188" s="4">
        <v>120126</v>
      </c>
      <c r="H188" s="35">
        <v>0</v>
      </c>
      <c r="J188" s="35">
        <v>0</v>
      </c>
      <c r="L188" s="4">
        <v>3248</v>
      </c>
      <c r="N188" s="35">
        <v>0</v>
      </c>
      <c r="P188" s="35">
        <v>0</v>
      </c>
      <c r="R188" s="4">
        <v>2768</v>
      </c>
      <c r="T188" s="4">
        <v>5824</v>
      </c>
      <c r="V188" s="4">
        <v>10</v>
      </c>
      <c r="X188" s="35">
        <v>0</v>
      </c>
      <c r="Z188" s="35">
        <v>0</v>
      </c>
      <c r="AB188" s="35">
        <v>0</v>
      </c>
      <c r="AD188" s="35">
        <v>0</v>
      </c>
      <c r="AF188" s="35">
        <v>0</v>
      </c>
      <c r="AH188" s="4">
        <f>SUM(F188:AD188)</f>
        <v>131976</v>
      </c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</row>
    <row r="189" spans="1:65" s="4" customFormat="1">
      <c r="A189" s="4">
        <v>108</v>
      </c>
      <c r="B189" s="4" t="s">
        <v>203</v>
      </c>
      <c r="D189" s="4" t="s">
        <v>204</v>
      </c>
      <c r="F189" s="35">
        <v>0</v>
      </c>
      <c r="H189" s="4">
        <v>266970</v>
      </c>
      <c r="J189" s="35">
        <v>0</v>
      </c>
      <c r="L189" s="4">
        <v>9990</v>
      </c>
      <c r="N189" s="35">
        <v>0</v>
      </c>
      <c r="P189" s="35">
        <v>0</v>
      </c>
      <c r="R189" s="4">
        <v>3544</v>
      </c>
      <c r="T189" s="4">
        <v>29848</v>
      </c>
      <c r="V189" s="4">
        <v>3938</v>
      </c>
      <c r="X189" s="35">
        <v>0</v>
      </c>
      <c r="Z189" s="35">
        <v>0</v>
      </c>
      <c r="AB189" s="35">
        <v>0</v>
      </c>
      <c r="AD189" s="35">
        <v>0</v>
      </c>
      <c r="AF189" s="35">
        <v>0</v>
      </c>
      <c r="AH189" s="4">
        <f>SUM(F189:AD189)</f>
        <v>314290</v>
      </c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 spans="1:65" s="4" customFormat="1">
      <c r="A190" s="4">
        <v>72</v>
      </c>
      <c r="B190" s="4" t="s">
        <v>205</v>
      </c>
      <c r="D190" s="4" t="s">
        <v>15</v>
      </c>
      <c r="F190" s="4">
        <v>1023500</v>
      </c>
      <c r="H190" s="4">
        <v>1627887</v>
      </c>
      <c r="J190" s="4">
        <v>230074</v>
      </c>
      <c r="L190" s="4">
        <v>87712</v>
      </c>
      <c r="N190" s="35">
        <v>0</v>
      </c>
      <c r="P190" s="35">
        <v>0</v>
      </c>
      <c r="R190" s="4">
        <v>3575</v>
      </c>
      <c r="T190" s="4">
        <v>8442</v>
      </c>
      <c r="V190" s="4">
        <v>28609</v>
      </c>
      <c r="X190" s="35">
        <v>0</v>
      </c>
      <c r="Z190" s="35">
        <v>0</v>
      </c>
      <c r="AB190" s="35">
        <v>0</v>
      </c>
      <c r="AD190" s="35">
        <v>0</v>
      </c>
      <c r="AF190" s="35">
        <v>0</v>
      </c>
      <c r="AH190" s="4">
        <f>SUM(F190:AD190)</f>
        <v>3009799</v>
      </c>
    </row>
    <row r="191" spans="1:65" s="4" customFormat="1">
      <c r="A191" s="4">
        <v>21</v>
      </c>
      <c r="B191" s="4" t="s">
        <v>206</v>
      </c>
      <c r="D191" s="4" t="s">
        <v>68</v>
      </c>
      <c r="F191" s="35">
        <v>0</v>
      </c>
      <c r="H191" s="4">
        <v>278154</v>
      </c>
      <c r="J191" s="35">
        <v>0</v>
      </c>
      <c r="L191" s="4">
        <v>12411</v>
      </c>
      <c r="N191" s="35">
        <v>0</v>
      </c>
      <c r="P191" s="4">
        <v>1675</v>
      </c>
      <c r="R191" s="4">
        <v>31342</v>
      </c>
      <c r="T191" s="4">
        <v>39074</v>
      </c>
      <c r="V191" s="4">
        <v>344</v>
      </c>
      <c r="X191" s="35">
        <v>0</v>
      </c>
      <c r="Z191" s="35">
        <v>0</v>
      </c>
      <c r="AB191" s="35">
        <v>0</v>
      </c>
      <c r="AD191" s="35">
        <v>0</v>
      </c>
      <c r="AF191" s="35">
        <v>0</v>
      </c>
      <c r="AH191" s="4">
        <f>SUM(F191:AD191)</f>
        <v>363000</v>
      </c>
    </row>
    <row r="192" spans="1:65" s="4" customFormat="1">
      <c r="A192" s="4">
        <v>125</v>
      </c>
      <c r="B192" s="4" t="s">
        <v>207</v>
      </c>
      <c r="D192" s="4" t="s">
        <v>12</v>
      </c>
      <c r="F192" s="35">
        <v>0</v>
      </c>
      <c r="H192" s="35">
        <v>227993</v>
      </c>
      <c r="J192" s="35">
        <v>1908</v>
      </c>
      <c r="L192" s="35">
        <v>4058</v>
      </c>
      <c r="N192" s="35">
        <v>0</v>
      </c>
      <c r="P192" s="35">
        <v>0</v>
      </c>
      <c r="R192" s="35">
        <v>4378</v>
      </c>
      <c r="T192" s="35">
        <v>5124</v>
      </c>
      <c r="V192" s="35">
        <v>12956</v>
      </c>
      <c r="X192" s="35">
        <v>0</v>
      </c>
      <c r="Z192" s="35">
        <v>0</v>
      </c>
      <c r="AB192" s="35">
        <v>0</v>
      </c>
      <c r="AD192" s="35">
        <v>10</v>
      </c>
      <c r="AF192" s="35">
        <v>0</v>
      </c>
      <c r="AH192" s="4">
        <f>SUM(F192:AF192)</f>
        <v>256427</v>
      </c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</row>
    <row r="193" spans="1:65" s="4" customFormat="1">
      <c r="A193" s="4">
        <v>140</v>
      </c>
      <c r="B193" s="4" t="s">
        <v>431</v>
      </c>
      <c r="D193" s="4" t="s">
        <v>16</v>
      </c>
      <c r="F193" s="4">
        <v>161963</v>
      </c>
      <c r="H193" s="4">
        <v>0</v>
      </c>
      <c r="J193" s="4">
        <v>1626416</v>
      </c>
      <c r="L193" s="4">
        <v>0</v>
      </c>
      <c r="N193" s="35">
        <v>0</v>
      </c>
      <c r="P193" s="4">
        <v>40408</v>
      </c>
      <c r="R193" s="4">
        <v>0</v>
      </c>
      <c r="T193" s="4">
        <v>21209</v>
      </c>
      <c r="V193" s="4">
        <v>10269</v>
      </c>
      <c r="X193" s="4">
        <v>0</v>
      </c>
      <c r="Z193" s="4">
        <v>0</v>
      </c>
      <c r="AB193" s="4">
        <v>0</v>
      </c>
      <c r="AD193" s="4">
        <v>0</v>
      </c>
      <c r="AF193" s="4">
        <v>0</v>
      </c>
      <c r="AH193" s="4">
        <f>SUM(F193:AD193)</f>
        <v>1860265</v>
      </c>
    </row>
    <row r="194" spans="1:65" s="4" customFormat="1">
      <c r="A194" s="4">
        <v>187</v>
      </c>
      <c r="B194" s="4" t="s">
        <v>606</v>
      </c>
      <c r="D194" s="4" t="s">
        <v>209</v>
      </c>
      <c r="F194" s="4">
        <v>3097181</v>
      </c>
      <c r="H194" s="4">
        <v>0</v>
      </c>
      <c r="J194" s="35">
        <v>0</v>
      </c>
      <c r="L194" s="4">
        <v>110491</v>
      </c>
      <c r="N194" s="4">
        <v>8357</v>
      </c>
      <c r="P194" s="4">
        <v>0</v>
      </c>
      <c r="R194" s="4">
        <v>18000</v>
      </c>
      <c r="T194" s="4">
        <v>6633</v>
      </c>
      <c r="V194" s="4">
        <v>43440</v>
      </c>
      <c r="X194" s="35">
        <v>0</v>
      </c>
      <c r="Z194" s="35">
        <v>0</v>
      </c>
      <c r="AB194" s="35">
        <v>0</v>
      </c>
      <c r="AD194" s="35">
        <v>0</v>
      </c>
      <c r="AF194" s="35">
        <v>0</v>
      </c>
      <c r="AH194" s="4">
        <f>SUM(F194:AD194)</f>
        <v>3284102</v>
      </c>
    </row>
    <row r="195" spans="1:65" s="4" customFormat="1">
      <c r="A195" s="4">
        <v>17</v>
      </c>
      <c r="B195" s="4" t="s">
        <v>310</v>
      </c>
      <c r="D195" s="4" t="s">
        <v>60</v>
      </c>
      <c r="F195" s="4">
        <v>222185</v>
      </c>
      <c r="H195" s="4">
        <v>540524</v>
      </c>
      <c r="J195" s="35">
        <v>0</v>
      </c>
      <c r="L195" s="4">
        <v>14175</v>
      </c>
      <c r="N195" s="35">
        <v>0</v>
      </c>
      <c r="P195" s="35">
        <v>0</v>
      </c>
      <c r="R195" s="4">
        <v>3269</v>
      </c>
      <c r="T195" s="4">
        <v>28954</v>
      </c>
      <c r="V195" s="4">
        <v>2643</v>
      </c>
      <c r="X195" s="35">
        <v>0</v>
      </c>
      <c r="Z195" s="35">
        <v>0</v>
      </c>
      <c r="AB195" s="35">
        <v>0</v>
      </c>
      <c r="AD195" s="35">
        <v>0</v>
      </c>
      <c r="AF195" s="35">
        <v>0</v>
      </c>
      <c r="AH195" s="4">
        <f>SUM(F195:AD195)</f>
        <v>811750</v>
      </c>
    </row>
    <row r="196" spans="1:65" s="4" customFormat="1">
      <c r="A196" s="4">
        <v>109</v>
      </c>
      <c r="B196" s="35" t="s">
        <v>461</v>
      </c>
      <c r="C196" s="35"/>
      <c r="D196" s="35" t="s">
        <v>210</v>
      </c>
      <c r="E196" s="35"/>
      <c r="F196" s="35">
        <v>0</v>
      </c>
      <c r="G196" s="35"/>
      <c r="H196" s="35">
        <v>2173305</v>
      </c>
      <c r="I196" s="35"/>
      <c r="J196" s="35">
        <v>0</v>
      </c>
      <c r="K196" s="35"/>
      <c r="L196" s="35">
        <v>37348</v>
      </c>
      <c r="M196" s="35"/>
      <c r="N196" s="35">
        <v>0</v>
      </c>
      <c r="O196" s="35"/>
      <c r="P196" s="35">
        <v>0</v>
      </c>
      <c r="Q196" s="35"/>
      <c r="R196" s="35">
        <v>28686</v>
      </c>
      <c r="S196" s="35"/>
      <c r="T196" s="35">
        <v>5745</v>
      </c>
      <c r="U196" s="35"/>
      <c r="V196" s="35">
        <v>25264</v>
      </c>
      <c r="W196" s="35"/>
      <c r="X196" s="35">
        <v>0</v>
      </c>
      <c r="Y196" s="35"/>
      <c r="Z196" s="35">
        <v>0</v>
      </c>
      <c r="AA196" s="35"/>
      <c r="AB196" s="35">
        <v>0</v>
      </c>
      <c r="AC196" s="35"/>
      <c r="AD196" s="35">
        <v>0</v>
      </c>
      <c r="AE196" s="35"/>
      <c r="AF196" s="35">
        <v>0</v>
      </c>
      <c r="AG196" s="35"/>
      <c r="AH196" s="4">
        <f>SUM(F196:AF196)</f>
        <v>2270348</v>
      </c>
    </row>
    <row r="197" spans="1:65" s="4" customFormat="1">
      <c r="A197" s="4">
        <v>207</v>
      </c>
      <c r="B197" s="4" t="s">
        <v>441</v>
      </c>
      <c r="D197" s="4" t="s">
        <v>56</v>
      </c>
      <c r="F197" s="35">
        <v>0</v>
      </c>
      <c r="H197" s="35">
        <v>0</v>
      </c>
      <c r="J197" s="4">
        <v>498561</v>
      </c>
      <c r="L197" s="4">
        <v>226818</v>
      </c>
      <c r="N197" s="35">
        <v>0</v>
      </c>
      <c r="P197" s="35">
        <v>0</v>
      </c>
      <c r="R197" s="35">
        <v>0</v>
      </c>
      <c r="T197" s="4">
        <v>26175</v>
      </c>
      <c r="V197" s="4">
        <f>14922+37406</f>
        <v>52328</v>
      </c>
      <c r="X197" s="35">
        <v>0</v>
      </c>
      <c r="Z197" s="4">
        <v>5134</v>
      </c>
      <c r="AB197" s="35">
        <v>0</v>
      </c>
      <c r="AD197" s="35">
        <v>0</v>
      </c>
      <c r="AF197" s="35">
        <v>0</v>
      </c>
      <c r="AH197" s="4">
        <f>SUM(F197:AD197)</f>
        <v>809016</v>
      </c>
    </row>
    <row r="198" spans="1:65" s="4" customFormat="1">
      <c r="A198" s="4">
        <v>243</v>
      </c>
      <c r="B198" s="35" t="s">
        <v>462</v>
      </c>
      <c r="C198" s="35"/>
      <c r="D198" s="35" t="s">
        <v>114</v>
      </c>
      <c r="E198" s="35"/>
      <c r="F198" s="35">
        <v>579347</v>
      </c>
      <c r="G198" s="35"/>
      <c r="H198" s="35">
        <v>0</v>
      </c>
      <c r="I198" s="35"/>
      <c r="J198" s="35">
        <v>0</v>
      </c>
      <c r="K198" s="35"/>
      <c r="L198" s="35">
        <v>16085</v>
      </c>
      <c r="M198" s="35"/>
      <c r="N198" s="35">
        <v>0</v>
      </c>
      <c r="O198" s="35"/>
      <c r="P198" s="35">
        <v>743</v>
      </c>
      <c r="Q198" s="35"/>
      <c r="R198" s="35">
        <v>830</v>
      </c>
      <c r="S198" s="35"/>
      <c r="T198" s="35">
        <v>1218</v>
      </c>
      <c r="U198" s="35"/>
      <c r="V198" s="35">
        <v>14869</v>
      </c>
      <c r="W198" s="35"/>
      <c r="X198" s="35">
        <v>0</v>
      </c>
      <c r="Y198" s="35"/>
      <c r="Z198" s="35">
        <v>0</v>
      </c>
      <c r="AA198" s="35"/>
      <c r="AB198" s="35">
        <v>0</v>
      </c>
      <c r="AC198" s="35"/>
      <c r="AD198" s="35">
        <v>0</v>
      </c>
      <c r="AE198" s="35"/>
      <c r="AF198" s="35">
        <v>0</v>
      </c>
      <c r="AG198" s="35"/>
      <c r="AH198" s="4">
        <f>SUM(F198:AF198)</f>
        <v>613092</v>
      </c>
    </row>
    <row r="199" spans="1:65" s="4" customFormat="1">
      <c r="A199" s="4">
        <v>6</v>
      </c>
      <c r="B199" s="4" t="s">
        <v>341</v>
      </c>
      <c r="D199" s="4" t="s">
        <v>89</v>
      </c>
      <c r="F199" s="4">
        <v>257063</v>
      </c>
      <c r="H199" s="35">
        <v>0</v>
      </c>
      <c r="J199" s="35">
        <v>0</v>
      </c>
      <c r="L199" s="4">
        <f>4556+3362</f>
        <v>7918</v>
      </c>
      <c r="N199" s="35">
        <v>0</v>
      </c>
      <c r="P199" s="35">
        <v>0</v>
      </c>
      <c r="R199" s="4">
        <v>1824</v>
      </c>
      <c r="T199" s="4">
        <v>6205</v>
      </c>
      <c r="V199" s="4">
        <f>1216+5089</f>
        <v>6305</v>
      </c>
      <c r="X199" s="35">
        <v>0</v>
      </c>
      <c r="Z199" s="35">
        <v>0</v>
      </c>
      <c r="AB199" s="35">
        <v>0</v>
      </c>
      <c r="AD199" s="35">
        <v>0</v>
      </c>
      <c r="AF199" s="35">
        <v>0</v>
      </c>
      <c r="AH199" s="4">
        <f>SUM(F199:AD199)</f>
        <v>279315</v>
      </c>
    </row>
    <row r="200" spans="1:65" s="4" customFormat="1">
      <c r="A200" s="4">
        <v>68</v>
      </c>
      <c r="B200" s="35" t="s">
        <v>211</v>
      </c>
      <c r="C200" s="35"/>
      <c r="D200" s="35" t="s">
        <v>81</v>
      </c>
      <c r="E200" s="35"/>
      <c r="F200" s="35">
        <v>0</v>
      </c>
      <c r="G200" s="35"/>
      <c r="H200" s="35">
        <v>319494</v>
      </c>
      <c r="I200" s="35"/>
      <c r="J200" s="35">
        <v>0</v>
      </c>
      <c r="K200" s="35"/>
      <c r="L200" s="35">
        <v>5764</v>
      </c>
      <c r="M200" s="35"/>
      <c r="N200" s="35">
        <v>0</v>
      </c>
      <c r="O200" s="35"/>
      <c r="P200" s="35">
        <v>0</v>
      </c>
      <c r="Q200" s="35"/>
      <c r="R200" s="35">
        <v>310</v>
      </c>
      <c r="S200" s="35"/>
      <c r="T200" s="35">
        <v>1400</v>
      </c>
      <c r="U200" s="35"/>
      <c r="V200" s="35">
        <v>51</v>
      </c>
      <c r="W200" s="35"/>
      <c r="X200" s="35">
        <v>0</v>
      </c>
      <c r="Y200" s="35"/>
      <c r="Z200" s="35">
        <v>0</v>
      </c>
      <c r="AA200" s="35"/>
      <c r="AB200" s="35">
        <v>0</v>
      </c>
      <c r="AC200" s="35"/>
      <c r="AD200" s="35">
        <v>0</v>
      </c>
      <c r="AE200" s="35"/>
      <c r="AF200" s="35">
        <v>0</v>
      </c>
      <c r="AG200" s="35"/>
      <c r="AH200" s="4">
        <f>SUM(F200:AF200)</f>
        <v>327019</v>
      </c>
    </row>
    <row r="201" spans="1:65" s="4" customFormat="1">
      <c r="A201" s="4">
        <v>196</v>
      </c>
      <c r="B201" s="35" t="s">
        <v>463</v>
      </c>
      <c r="C201" s="35"/>
      <c r="D201" s="35" t="s">
        <v>66</v>
      </c>
      <c r="E201" s="35"/>
      <c r="F201" s="35">
        <v>0</v>
      </c>
      <c r="G201" s="35"/>
      <c r="H201" s="35">
        <v>119712</v>
      </c>
      <c r="I201" s="35"/>
      <c r="J201" s="35">
        <v>0</v>
      </c>
      <c r="K201" s="35"/>
      <c r="L201" s="35">
        <v>2715</v>
      </c>
      <c r="M201" s="35"/>
      <c r="N201" s="35">
        <v>0</v>
      </c>
      <c r="O201" s="35"/>
      <c r="P201" s="35">
        <v>0</v>
      </c>
      <c r="Q201" s="35"/>
      <c r="R201" s="35">
        <v>3041</v>
      </c>
      <c r="S201" s="35"/>
      <c r="T201" s="35">
        <v>0</v>
      </c>
      <c r="U201" s="35"/>
      <c r="V201" s="35">
        <v>60</v>
      </c>
      <c r="W201" s="35"/>
      <c r="X201" s="35">
        <v>0</v>
      </c>
      <c r="Y201" s="35"/>
      <c r="Z201" s="35">
        <v>0</v>
      </c>
      <c r="AA201" s="35"/>
      <c r="AB201" s="35">
        <v>0</v>
      </c>
      <c r="AC201" s="35"/>
      <c r="AD201" s="35">
        <v>0</v>
      </c>
      <c r="AE201" s="35"/>
      <c r="AF201" s="35">
        <v>0</v>
      </c>
      <c r="AG201" s="35"/>
      <c r="AH201" s="4">
        <f>SUM(F201:AF201)</f>
        <v>125528</v>
      </c>
    </row>
    <row r="202" spans="1:65" s="4" customFormat="1">
      <c r="A202" s="4">
        <v>45</v>
      </c>
      <c r="B202" s="4" t="s">
        <v>212</v>
      </c>
      <c r="D202" s="4" t="s">
        <v>26</v>
      </c>
      <c r="F202" s="35">
        <v>43244</v>
      </c>
      <c r="H202" s="35">
        <v>306012</v>
      </c>
      <c r="J202" s="35">
        <v>10673</v>
      </c>
      <c r="L202" s="35">
        <v>10903</v>
      </c>
      <c r="N202" s="35">
        <v>0</v>
      </c>
      <c r="P202" s="35">
        <v>0</v>
      </c>
      <c r="R202" s="35">
        <v>510</v>
      </c>
      <c r="T202" s="35">
        <v>1727</v>
      </c>
      <c r="V202" s="35">
        <v>47778</v>
      </c>
      <c r="X202" s="35">
        <v>0</v>
      </c>
      <c r="Z202" s="35">
        <v>0</v>
      </c>
      <c r="AB202" s="35">
        <v>0</v>
      </c>
      <c r="AD202" s="35">
        <v>0</v>
      </c>
      <c r="AF202" s="35">
        <v>0</v>
      </c>
      <c r="AH202" s="4">
        <f>SUM(F202:AF202)</f>
        <v>420847</v>
      </c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</row>
    <row r="203" spans="1:65" s="4" customFormat="1">
      <c r="A203" s="4">
        <v>88</v>
      </c>
      <c r="B203" s="4" t="s">
        <v>213</v>
      </c>
      <c r="D203" s="4" t="s">
        <v>56</v>
      </c>
      <c r="F203" s="4">
        <v>104104</v>
      </c>
      <c r="H203" s="4">
        <v>620462</v>
      </c>
      <c r="J203" s="4">
        <v>16260</v>
      </c>
      <c r="L203" s="4">
        <v>11835</v>
      </c>
      <c r="N203" s="35">
        <v>0</v>
      </c>
      <c r="P203" s="35">
        <v>0</v>
      </c>
      <c r="R203" s="4">
        <v>3350</v>
      </c>
      <c r="T203" s="4">
        <v>6461</v>
      </c>
      <c r="V203" s="4">
        <v>542</v>
      </c>
      <c r="X203" s="35">
        <v>0</v>
      </c>
      <c r="Z203" s="35">
        <v>0</v>
      </c>
      <c r="AB203" s="35">
        <v>0</v>
      </c>
      <c r="AD203" s="35">
        <v>0</v>
      </c>
      <c r="AF203" s="35">
        <v>0</v>
      </c>
      <c r="AH203" s="4">
        <f>SUM(F203:AD203)</f>
        <v>763014</v>
      </c>
    </row>
    <row r="204" spans="1:65" s="4" customFormat="1">
      <c r="A204" s="39">
        <v>197.1</v>
      </c>
      <c r="B204" s="4" t="s">
        <v>216</v>
      </c>
      <c r="D204" s="4" t="s">
        <v>42</v>
      </c>
      <c r="F204" s="35">
        <v>0</v>
      </c>
      <c r="H204" s="35">
        <v>143215</v>
      </c>
      <c r="J204" s="35">
        <v>0</v>
      </c>
      <c r="L204" s="35">
        <v>4778</v>
      </c>
      <c r="N204" s="35">
        <v>0</v>
      </c>
      <c r="P204" s="35">
        <v>3000</v>
      </c>
      <c r="R204" s="35">
        <v>815</v>
      </c>
      <c r="T204" s="35">
        <v>690</v>
      </c>
      <c r="V204" s="35">
        <v>30</v>
      </c>
      <c r="X204" s="35">
        <v>529</v>
      </c>
      <c r="Z204" s="35">
        <v>0</v>
      </c>
      <c r="AB204" s="35">
        <v>0</v>
      </c>
      <c r="AD204" s="35">
        <v>0</v>
      </c>
      <c r="AF204" s="35">
        <v>0</v>
      </c>
      <c r="AH204" s="4">
        <f>SUM(F204:AF204)</f>
        <v>153057</v>
      </c>
    </row>
    <row r="205" spans="1:65" s="4" customFormat="1">
      <c r="A205" s="4">
        <v>92</v>
      </c>
      <c r="B205" s="35" t="s">
        <v>217</v>
      </c>
      <c r="C205" s="35"/>
      <c r="D205" s="35" t="s">
        <v>65</v>
      </c>
      <c r="E205" s="35"/>
      <c r="F205" s="35">
        <v>0</v>
      </c>
      <c r="G205" s="35"/>
      <c r="H205" s="35">
        <v>387294</v>
      </c>
      <c r="I205" s="35"/>
      <c r="J205" s="35">
        <v>0</v>
      </c>
      <c r="K205" s="35"/>
      <c r="L205" s="35">
        <v>11378</v>
      </c>
      <c r="M205" s="35"/>
      <c r="N205" s="35">
        <v>0</v>
      </c>
      <c r="O205" s="35"/>
      <c r="P205" s="35">
        <v>0</v>
      </c>
      <c r="Q205" s="35"/>
      <c r="R205" s="35">
        <v>3993</v>
      </c>
      <c r="S205" s="35"/>
      <c r="T205" s="35">
        <v>11551</v>
      </c>
      <c r="U205" s="35"/>
      <c r="V205" s="35">
        <v>1980</v>
      </c>
      <c r="W205" s="35"/>
      <c r="X205" s="35">
        <v>465</v>
      </c>
      <c r="Y205" s="35"/>
      <c r="Z205" s="35">
        <v>0</v>
      </c>
      <c r="AA205" s="35"/>
      <c r="AB205" s="35">
        <v>0</v>
      </c>
      <c r="AC205" s="35"/>
      <c r="AD205" s="35">
        <v>0</v>
      </c>
      <c r="AE205" s="35"/>
      <c r="AF205" s="35">
        <v>0</v>
      </c>
      <c r="AG205" s="35"/>
      <c r="AH205" s="4">
        <f>SUM(F205:AF205)</f>
        <v>416661</v>
      </c>
    </row>
    <row r="206" spans="1:65" s="4" customFormat="1">
      <c r="A206" s="4">
        <v>139</v>
      </c>
      <c r="B206" s="4" t="s">
        <v>218</v>
      </c>
      <c r="D206" s="4" t="s">
        <v>25</v>
      </c>
      <c r="F206" s="4">
        <v>169279</v>
      </c>
      <c r="H206" s="4">
        <v>0</v>
      </c>
      <c r="J206" s="4">
        <v>1579065</v>
      </c>
      <c r="L206" s="4">
        <v>81964</v>
      </c>
      <c r="N206" s="35">
        <v>0</v>
      </c>
      <c r="P206" s="4">
        <v>0</v>
      </c>
      <c r="R206" s="4">
        <v>1280</v>
      </c>
      <c r="T206" s="4">
        <v>23754</v>
      </c>
      <c r="V206" s="4">
        <v>3883</v>
      </c>
      <c r="X206" s="4">
        <v>0</v>
      </c>
      <c r="Z206" s="4">
        <v>0</v>
      </c>
      <c r="AB206" s="4">
        <v>0</v>
      </c>
      <c r="AD206" s="4">
        <v>0</v>
      </c>
      <c r="AF206" s="4">
        <v>0</v>
      </c>
      <c r="AH206" s="4">
        <f>SUM(F206:AD206)</f>
        <v>1859225</v>
      </c>
    </row>
    <row r="207" spans="1:65" s="4" customFormat="1">
      <c r="A207" s="4">
        <v>132</v>
      </c>
      <c r="B207" s="4" t="s">
        <v>443</v>
      </c>
      <c r="D207" s="4" t="s">
        <v>65</v>
      </c>
      <c r="F207" s="35">
        <v>0</v>
      </c>
      <c r="H207" s="35">
        <v>0</v>
      </c>
      <c r="J207" s="35">
        <v>0</v>
      </c>
      <c r="L207" s="35">
        <v>0</v>
      </c>
      <c r="N207" s="35">
        <v>0</v>
      </c>
      <c r="P207" s="4">
        <v>24837</v>
      </c>
      <c r="R207" s="35">
        <v>0</v>
      </c>
      <c r="T207" s="4">
        <v>3508</v>
      </c>
      <c r="V207" s="35">
        <v>0</v>
      </c>
      <c r="X207" s="35">
        <v>0</v>
      </c>
      <c r="Z207" s="4">
        <v>548</v>
      </c>
      <c r="AB207" s="35">
        <v>0</v>
      </c>
      <c r="AD207" s="35">
        <v>0</v>
      </c>
      <c r="AF207" s="35">
        <v>0</v>
      </c>
      <c r="AH207" s="4">
        <f>SUM(F207:AD207)</f>
        <v>28893</v>
      </c>
    </row>
    <row r="208" spans="1:65" s="4" customFormat="1">
      <c r="A208" s="4">
        <v>9</v>
      </c>
      <c r="B208" s="4" t="s">
        <v>219</v>
      </c>
      <c r="D208" s="4" t="s">
        <v>89</v>
      </c>
      <c r="F208" s="35">
        <v>140037</v>
      </c>
      <c r="H208" s="35">
        <v>703046</v>
      </c>
      <c r="J208" s="35">
        <v>32512</v>
      </c>
      <c r="L208" s="35">
        <v>31588</v>
      </c>
      <c r="N208" s="35">
        <v>0</v>
      </c>
      <c r="P208" s="35">
        <v>0</v>
      </c>
      <c r="R208" s="35">
        <v>4527</v>
      </c>
      <c r="T208" s="35">
        <v>9564</v>
      </c>
      <c r="V208" s="35">
        <v>29603</v>
      </c>
      <c r="X208" s="35">
        <v>0</v>
      </c>
      <c r="Z208" s="35">
        <v>0</v>
      </c>
      <c r="AB208" s="35">
        <v>0</v>
      </c>
      <c r="AD208" s="35">
        <v>0</v>
      </c>
      <c r="AF208" s="35">
        <v>0</v>
      </c>
      <c r="AH208" s="4">
        <f>SUM(F208:AF208)</f>
        <v>950877</v>
      </c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</row>
    <row r="209" spans="1:65" s="4" customFormat="1">
      <c r="A209" s="4">
        <v>107</v>
      </c>
      <c r="B209" s="4" t="s">
        <v>220</v>
      </c>
      <c r="D209" s="4" t="s">
        <v>158</v>
      </c>
      <c r="F209" s="4">
        <v>311210</v>
      </c>
      <c r="H209" s="35">
        <v>0</v>
      </c>
      <c r="J209" s="35">
        <v>0</v>
      </c>
      <c r="L209" s="4">
        <v>13064</v>
      </c>
      <c r="N209" s="35">
        <v>0</v>
      </c>
      <c r="P209" s="35">
        <v>0</v>
      </c>
      <c r="R209" s="4">
        <v>7388</v>
      </c>
      <c r="T209" s="4">
        <v>12374</v>
      </c>
      <c r="V209" s="4">
        <v>3454</v>
      </c>
      <c r="X209" s="35">
        <v>0</v>
      </c>
      <c r="Z209" s="35">
        <v>0</v>
      </c>
      <c r="AB209" s="35">
        <v>0</v>
      </c>
      <c r="AD209" s="35">
        <v>0</v>
      </c>
      <c r="AF209" s="35">
        <v>0</v>
      </c>
      <c r="AH209" s="4">
        <f>SUM(F209:AD209)</f>
        <v>347490</v>
      </c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</row>
    <row r="210" spans="1:65" s="4" customFormat="1">
      <c r="A210" s="4">
        <v>240</v>
      </c>
      <c r="B210" s="4" t="s">
        <v>221</v>
      </c>
      <c r="D210" s="4" t="s">
        <v>170</v>
      </c>
      <c r="F210" s="35">
        <v>0</v>
      </c>
      <c r="H210" s="4">
        <v>258800</v>
      </c>
      <c r="J210" s="35">
        <v>0</v>
      </c>
      <c r="L210" s="4">
        <v>7387</v>
      </c>
      <c r="N210" s="35">
        <v>0</v>
      </c>
      <c r="P210" s="35">
        <v>0</v>
      </c>
      <c r="R210" s="4">
        <v>100</v>
      </c>
      <c r="T210" s="4">
        <v>17440</v>
      </c>
      <c r="V210" s="4">
        <v>170</v>
      </c>
      <c r="X210" s="35">
        <v>0</v>
      </c>
      <c r="Z210" s="35">
        <v>0</v>
      </c>
      <c r="AB210" s="35">
        <v>0</v>
      </c>
      <c r="AD210" s="35">
        <v>0</v>
      </c>
      <c r="AF210" s="35">
        <v>0</v>
      </c>
      <c r="AH210" s="4">
        <f>SUM(F210:AD210)</f>
        <v>283897</v>
      </c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</row>
    <row r="211" spans="1:65" s="4" customFormat="1">
      <c r="A211" s="4">
        <v>237</v>
      </c>
      <c r="B211" s="4" t="s">
        <v>222</v>
      </c>
      <c r="D211" s="4" t="s">
        <v>57</v>
      </c>
      <c r="F211" s="35">
        <v>584532</v>
      </c>
      <c r="H211" s="35">
        <v>470381</v>
      </c>
      <c r="J211" s="35">
        <v>20919</v>
      </c>
      <c r="L211" s="35">
        <v>34954</v>
      </c>
      <c r="N211" s="35">
        <v>0</v>
      </c>
      <c r="P211" s="35">
        <v>0</v>
      </c>
      <c r="R211" s="35">
        <v>10987</v>
      </c>
      <c r="T211" s="35">
        <v>6298</v>
      </c>
      <c r="V211" s="35">
        <v>3884</v>
      </c>
      <c r="X211" s="35">
        <v>0</v>
      </c>
      <c r="Z211" s="35">
        <v>0</v>
      </c>
      <c r="AB211" s="35">
        <v>0</v>
      </c>
      <c r="AD211" s="35">
        <v>0</v>
      </c>
      <c r="AF211" s="35">
        <v>0</v>
      </c>
      <c r="AH211" s="4">
        <f>SUM(F211:AF211)</f>
        <v>1131955</v>
      </c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</row>
    <row r="212" spans="1:65" s="7" customFormat="1">
      <c r="A212" s="4">
        <v>167</v>
      </c>
      <c r="B212" s="4" t="s">
        <v>224</v>
      </c>
      <c r="C212" s="4"/>
      <c r="D212" s="4" t="s">
        <v>225</v>
      </c>
      <c r="E212" s="4"/>
      <c r="F212" s="4">
        <v>139056</v>
      </c>
      <c r="G212" s="4"/>
      <c r="H212" s="4">
        <v>0</v>
      </c>
      <c r="I212" s="4"/>
      <c r="J212" s="4">
        <f>662620+21941</f>
        <v>684561</v>
      </c>
      <c r="K212" s="4"/>
      <c r="L212" s="4">
        <v>46360</v>
      </c>
      <c r="M212" s="4"/>
      <c r="N212" s="35">
        <v>0</v>
      </c>
      <c r="O212" s="4"/>
      <c r="P212" s="4">
        <v>0</v>
      </c>
      <c r="Q212" s="4"/>
      <c r="R212" s="4">
        <v>15132</v>
      </c>
      <c r="S212" s="4"/>
      <c r="T212" s="4">
        <v>30289</v>
      </c>
      <c r="U212" s="4"/>
      <c r="V212" s="4">
        <v>2257</v>
      </c>
      <c r="W212" s="4"/>
      <c r="X212" s="4">
        <v>0</v>
      </c>
      <c r="Y212" s="4"/>
      <c r="Z212" s="4">
        <v>0</v>
      </c>
      <c r="AA212" s="4"/>
      <c r="AB212" s="4">
        <v>0</v>
      </c>
      <c r="AC212" s="4"/>
      <c r="AD212" s="4"/>
      <c r="AE212" s="4"/>
      <c r="AF212" s="4">
        <v>0</v>
      </c>
      <c r="AG212" s="4"/>
      <c r="AH212" s="4">
        <f>SUM(F212:AD212)</f>
        <v>917655</v>
      </c>
    </row>
    <row r="213" spans="1:65" s="4" customFormat="1">
      <c r="A213" s="4">
        <v>217</v>
      </c>
      <c r="B213" s="35" t="s">
        <v>226</v>
      </c>
      <c r="C213" s="35"/>
      <c r="D213" s="35" t="s">
        <v>41</v>
      </c>
      <c r="E213" s="35"/>
      <c r="F213" s="35">
        <v>277169</v>
      </c>
      <c r="G213" s="35"/>
      <c r="H213" s="35">
        <v>605134</v>
      </c>
      <c r="I213" s="35"/>
      <c r="J213" s="35">
        <v>0</v>
      </c>
      <c r="K213" s="35"/>
      <c r="L213" s="35">
        <v>21467</v>
      </c>
      <c r="M213" s="35"/>
      <c r="N213" s="35">
        <v>0</v>
      </c>
      <c r="O213" s="35"/>
      <c r="P213" s="35">
        <v>0</v>
      </c>
      <c r="Q213" s="35"/>
      <c r="R213" s="35">
        <v>4299</v>
      </c>
      <c r="S213" s="35"/>
      <c r="T213" s="35">
        <v>54454</v>
      </c>
      <c r="U213" s="35"/>
      <c r="V213" s="35">
        <v>1266</v>
      </c>
      <c r="W213" s="35"/>
      <c r="X213" s="35">
        <v>0</v>
      </c>
      <c r="Y213" s="35"/>
      <c r="Z213" s="35">
        <v>0</v>
      </c>
      <c r="AA213" s="35"/>
      <c r="AB213" s="35">
        <v>0</v>
      </c>
      <c r="AC213" s="35"/>
      <c r="AD213" s="35">
        <v>0</v>
      </c>
      <c r="AE213" s="35"/>
      <c r="AF213" s="35">
        <v>0</v>
      </c>
      <c r="AG213" s="35"/>
      <c r="AH213" s="4">
        <f>SUM(F213:AF213)</f>
        <v>963789</v>
      </c>
    </row>
    <row r="214" spans="1:65" s="4" customFormat="1">
      <c r="A214" s="4">
        <v>193</v>
      </c>
      <c r="B214" s="35" t="s">
        <v>465</v>
      </c>
      <c r="C214" s="35"/>
      <c r="D214" s="35" t="s">
        <v>60</v>
      </c>
      <c r="E214" s="35"/>
      <c r="F214" s="35">
        <v>15716</v>
      </c>
      <c r="G214" s="35"/>
      <c r="H214" s="35">
        <v>234829</v>
      </c>
      <c r="I214" s="35"/>
      <c r="J214" s="35">
        <v>0</v>
      </c>
      <c r="K214" s="35"/>
      <c r="L214" s="35">
        <v>4309</v>
      </c>
      <c r="M214" s="35"/>
      <c r="N214" s="35">
        <v>0</v>
      </c>
      <c r="O214" s="35"/>
      <c r="P214" s="35">
        <v>0</v>
      </c>
      <c r="Q214" s="35"/>
      <c r="R214" s="35">
        <v>4109</v>
      </c>
      <c r="S214" s="35"/>
      <c r="T214" s="35">
        <v>8049</v>
      </c>
      <c r="U214" s="35"/>
      <c r="V214" s="35">
        <v>4399</v>
      </c>
      <c r="W214" s="35"/>
      <c r="X214" s="35">
        <v>136</v>
      </c>
      <c r="Y214" s="35"/>
      <c r="Z214" s="35">
        <v>0</v>
      </c>
      <c r="AA214" s="35"/>
      <c r="AB214" s="35">
        <v>0</v>
      </c>
      <c r="AC214" s="35"/>
      <c r="AD214" s="35">
        <v>0</v>
      </c>
      <c r="AE214" s="35"/>
      <c r="AF214" s="35">
        <v>0</v>
      </c>
      <c r="AG214" s="35"/>
      <c r="AH214" s="4">
        <f>SUM(F214:AF214)</f>
        <v>271547</v>
      </c>
    </row>
    <row r="215" spans="1:65" s="4" customFormat="1">
      <c r="A215" s="4">
        <v>191</v>
      </c>
      <c r="B215" s="4" t="s">
        <v>228</v>
      </c>
      <c r="D215" s="4" t="s">
        <v>229</v>
      </c>
      <c r="F215" s="35">
        <v>0</v>
      </c>
      <c r="H215" s="4">
        <v>740380</v>
      </c>
      <c r="J215" s="35">
        <v>0</v>
      </c>
      <c r="L215" s="4">
        <v>31721</v>
      </c>
      <c r="N215" s="35">
        <v>0</v>
      </c>
      <c r="P215" s="35">
        <v>0</v>
      </c>
      <c r="R215" s="4">
        <v>50354</v>
      </c>
      <c r="T215" s="4">
        <v>33277</v>
      </c>
      <c r="V215" s="4">
        <v>6310</v>
      </c>
      <c r="X215" s="35">
        <v>0</v>
      </c>
      <c r="Z215" s="35">
        <v>0</v>
      </c>
      <c r="AB215" s="35">
        <v>0</v>
      </c>
      <c r="AD215" s="35">
        <v>0</v>
      </c>
      <c r="AF215" s="35">
        <v>0</v>
      </c>
      <c r="AH215" s="4">
        <f>SUM(F215:AD215)</f>
        <v>862042</v>
      </c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</row>
    <row r="216" spans="1:65" s="4" customFormat="1">
      <c r="A216" s="4">
        <v>255</v>
      </c>
      <c r="B216" s="4" t="s">
        <v>231</v>
      </c>
      <c r="D216" s="4" t="s">
        <v>65</v>
      </c>
      <c r="F216" s="35">
        <v>0</v>
      </c>
      <c r="H216" s="35">
        <v>343751</v>
      </c>
      <c r="J216" s="35">
        <v>0</v>
      </c>
      <c r="L216" s="35">
        <v>9223</v>
      </c>
      <c r="N216" s="35">
        <v>0</v>
      </c>
      <c r="P216" s="35">
        <v>0</v>
      </c>
      <c r="R216" s="35">
        <v>1488</v>
      </c>
      <c r="T216" s="35">
        <v>10824</v>
      </c>
      <c r="V216" s="35">
        <v>2308</v>
      </c>
      <c r="X216" s="35">
        <v>0</v>
      </c>
      <c r="Z216" s="35">
        <v>0</v>
      </c>
      <c r="AB216" s="35">
        <v>15000</v>
      </c>
      <c r="AD216" s="35">
        <v>0</v>
      </c>
      <c r="AF216" s="35">
        <v>0</v>
      </c>
      <c r="AH216" s="4">
        <f>SUM(F216:AF216)</f>
        <v>382594</v>
      </c>
    </row>
    <row r="217" spans="1:65" s="4" customFormat="1">
      <c r="A217" s="4">
        <v>214</v>
      </c>
      <c r="B217" s="4" t="s">
        <v>232</v>
      </c>
      <c r="D217" s="4" t="s">
        <v>22</v>
      </c>
      <c r="F217" s="35">
        <v>113642</v>
      </c>
      <c r="H217" s="35">
        <v>383184</v>
      </c>
      <c r="J217" s="35">
        <v>9537</v>
      </c>
      <c r="L217" s="35">
        <v>5720</v>
      </c>
      <c r="N217" s="35">
        <v>0</v>
      </c>
      <c r="P217" s="35">
        <v>0</v>
      </c>
      <c r="R217" s="35">
        <v>0</v>
      </c>
      <c r="T217" s="35">
        <v>983</v>
      </c>
      <c r="V217" s="35">
        <v>0</v>
      </c>
      <c r="X217" s="35">
        <v>0</v>
      </c>
      <c r="Z217" s="35">
        <v>0</v>
      </c>
      <c r="AB217" s="35">
        <v>0</v>
      </c>
      <c r="AD217" s="35">
        <v>0</v>
      </c>
      <c r="AF217" s="35">
        <v>0</v>
      </c>
      <c r="AH217" s="4">
        <f>SUM(F217:AF217)</f>
        <v>513066</v>
      </c>
    </row>
    <row r="218" spans="1:65" s="4" customFormat="1">
      <c r="A218" s="4">
        <v>129</v>
      </c>
      <c r="B218" s="35" t="s">
        <v>607</v>
      </c>
      <c r="C218" s="35"/>
      <c r="D218" s="35" t="s">
        <v>66</v>
      </c>
      <c r="E218" s="35"/>
      <c r="F218" s="35">
        <v>99923</v>
      </c>
      <c r="G218" s="35"/>
      <c r="H218" s="35">
        <v>1077404</v>
      </c>
      <c r="I218" s="35"/>
      <c r="J218" s="35">
        <v>12799</v>
      </c>
      <c r="K218" s="35"/>
      <c r="L218" s="35">
        <v>38200</v>
      </c>
      <c r="M218" s="35"/>
      <c r="N218" s="35">
        <v>0</v>
      </c>
      <c r="O218" s="35"/>
      <c r="P218" s="35">
        <v>0</v>
      </c>
      <c r="Q218" s="35"/>
      <c r="R218" s="35">
        <v>4712</v>
      </c>
      <c r="S218" s="35"/>
      <c r="T218" s="35">
        <v>2724</v>
      </c>
      <c r="U218" s="35"/>
      <c r="V218" s="35">
        <v>50619</v>
      </c>
      <c r="W218" s="35"/>
      <c r="X218" s="35">
        <v>680</v>
      </c>
      <c r="Y218" s="35"/>
      <c r="Z218" s="35">
        <v>0</v>
      </c>
      <c r="AA218" s="35"/>
      <c r="AB218" s="35">
        <v>0</v>
      </c>
      <c r="AC218" s="35"/>
      <c r="AD218" s="35">
        <v>0</v>
      </c>
      <c r="AE218" s="35"/>
      <c r="AF218" s="35">
        <v>0</v>
      </c>
      <c r="AG218" s="35"/>
      <c r="AH218" s="4">
        <f>SUM(F218:AF218)</f>
        <v>1287061</v>
      </c>
    </row>
    <row r="219" spans="1:65" s="4" customFormat="1">
      <c r="A219" s="4">
        <v>200</v>
      </c>
      <c r="B219" s="4" t="s">
        <v>233</v>
      </c>
      <c r="D219" s="4" t="s">
        <v>68</v>
      </c>
      <c r="F219" s="35">
        <v>0</v>
      </c>
      <c r="H219" s="4">
        <v>256758</v>
      </c>
      <c r="J219" s="35">
        <v>0</v>
      </c>
      <c r="L219" s="4">
        <v>5283</v>
      </c>
      <c r="N219" s="35">
        <v>0</v>
      </c>
      <c r="P219" s="35">
        <v>0</v>
      </c>
      <c r="R219" s="4">
        <v>25</v>
      </c>
      <c r="T219" s="4">
        <v>58</v>
      </c>
      <c r="V219" s="4">
        <v>430</v>
      </c>
      <c r="X219" s="35">
        <v>0</v>
      </c>
      <c r="Z219" s="35">
        <v>0</v>
      </c>
      <c r="AB219" s="35">
        <v>0</v>
      </c>
      <c r="AD219" s="35">
        <v>0</v>
      </c>
      <c r="AF219" s="35">
        <v>0</v>
      </c>
      <c r="AH219" s="4">
        <f>SUM(F219:AD219)</f>
        <v>262554</v>
      </c>
    </row>
    <row r="220" spans="1:65" s="4" customFormat="1">
      <c r="A220" s="4">
        <v>172</v>
      </c>
      <c r="B220" s="4" t="s">
        <v>234</v>
      </c>
      <c r="D220" s="4" t="s">
        <v>15</v>
      </c>
      <c r="F220" s="35">
        <v>551856</v>
      </c>
      <c r="H220" s="35">
        <v>416544</v>
      </c>
      <c r="J220" s="35">
        <v>25295</v>
      </c>
      <c r="L220" s="35">
        <v>25167</v>
      </c>
      <c r="N220" s="35">
        <v>0</v>
      </c>
      <c r="P220" s="35">
        <v>92</v>
      </c>
      <c r="R220" s="35">
        <v>0</v>
      </c>
      <c r="T220" s="35">
        <v>7878</v>
      </c>
      <c r="V220" s="35">
        <v>11629</v>
      </c>
      <c r="X220" s="35">
        <v>15</v>
      </c>
      <c r="Z220" s="35">
        <v>0</v>
      </c>
      <c r="AB220" s="35">
        <v>0</v>
      </c>
      <c r="AD220" s="35">
        <v>0</v>
      </c>
      <c r="AF220" s="35">
        <v>0</v>
      </c>
      <c r="AH220" s="4">
        <f>SUM(F220:AF220)</f>
        <v>1038476</v>
      </c>
    </row>
    <row r="221" spans="1:65" s="4" customFormat="1">
      <c r="A221" s="4">
        <v>213</v>
      </c>
      <c r="B221" s="4" t="s">
        <v>235</v>
      </c>
      <c r="D221" s="4" t="s">
        <v>236</v>
      </c>
      <c r="F221" s="4">
        <v>0</v>
      </c>
      <c r="H221" s="4">
        <v>0</v>
      </c>
      <c r="J221" s="4">
        <v>1824729</v>
      </c>
      <c r="L221" s="4">
        <v>62225</v>
      </c>
      <c r="N221" s="35">
        <v>0</v>
      </c>
      <c r="P221" s="4">
        <v>0</v>
      </c>
      <c r="R221" s="4">
        <v>2193</v>
      </c>
      <c r="T221" s="4">
        <v>361307</v>
      </c>
      <c r="V221" s="4">
        <v>10304</v>
      </c>
      <c r="X221" s="4">
        <v>0</v>
      </c>
      <c r="Z221" s="4">
        <v>0</v>
      </c>
      <c r="AB221" s="4">
        <v>0</v>
      </c>
      <c r="AD221" s="4">
        <v>0</v>
      </c>
      <c r="AF221" s="4">
        <v>0</v>
      </c>
      <c r="AH221" s="4">
        <f>SUM(F221:AD221)</f>
        <v>2260758</v>
      </c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</row>
    <row r="222" spans="1:65" s="4" customFormat="1">
      <c r="A222" s="4">
        <v>122</v>
      </c>
      <c r="B222" s="4" t="s">
        <v>312</v>
      </c>
      <c r="D222" s="4" t="s">
        <v>67</v>
      </c>
      <c r="F222" s="35">
        <v>0</v>
      </c>
      <c r="H222" s="35">
        <v>1047585</v>
      </c>
      <c r="J222" s="35">
        <v>0</v>
      </c>
      <c r="L222" s="35">
        <v>40434</v>
      </c>
      <c r="N222" s="35">
        <v>0</v>
      </c>
      <c r="P222" s="35">
        <v>0</v>
      </c>
      <c r="R222" s="35">
        <v>67897</v>
      </c>
      <c r="T222" s="35">
        <v>3758</v>
      </c>
      <c r="V222" s="35">
        <v>3455</v>
      </c>
      <c r="X222" s="35">
        <v>301</v>
      </c>
      <c r="Z222" s="35">
        <v>0</v>
      </c>
      <c r="AB222" s="35">
        <v>0</v>
      </c>
      <c r="AD222" s="35">
        <v>0</v>
      </c>
      <c r="AF222" s="35">
        <v>0</v>
      </c>
      <c r="AH222" s="4">
        <f>SUM(F222:AF222)</f>
        <v>1163430</v>
      </c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</row>
    <row r="223" spans="1:65" s="4" customFormat="1">
      <c r="A223" s="4">
        <v>257</v>
      </c>
      <c r="B223" s="4" t="s">
        <v>587</v>
      </c>
      <c r="D223" s="4" t="s">
        <v>53</v>
      </c>
      <c r="F223" s="35">
        <v>0</v>
      </c>
      <c r="H223" s="35">
        <v>787027</v>
      </c>
      <c r="J223" s="35">
        <v>0</v>
      </c>
      <c r="L223" s="35">
        <v>17411</v>
      </c>
      <c r="N223" s="35">
        <v>0</v>
      </c>
      <c r="P223" s="35">
        <v>0</v>
      </c>
      <c r="R223" s="35">
        <v>305662</v>
      </c>
      <c r="T223" s="35">
        <v>4123</v>
      </c>
      <c r="V223" s="35">
        <v>4187</v>
      </c>
      <c r="X223" s="35">
        <v>0</v>
      </c>
      <c r="Z223" s="35">
        <v>0</v>
      </c>
      <c r="AB223" s="35">
        <v>0</v>
      </c>
      <c r="AD223" s="35">
        <v>0</v>
      </c>
      <c r="AF223" s="35">
        <v>0</v>
      </c>
      <c r="AH223" s="4">
        <f>SUM(F223:AF223)</f>
        <v>1118410</v>
      </c>
    </row>
    <row r="224" spans="1:65" s="4" customFormat="1">
      <c r="A224" s="4">
        <v>236</v>
      </c>
      <c r="B224" s="4" t="s">
        <v>237</v>
      </c>
      <c r="D224" s="4" t="s">
        <v>12</v>
      </c>
      <c r="F224" s="35">
        <v>197213</v>
      </c>
      <c r="H224" s="35">
        <v>426366</v>
      </c>
      <c r="J224" s="35">
        <v>0</v>
      </c>
      <c r="L224" s="35">
        <v>22619</v>
      </c>
      <c r="N224" s="35">
        <v>0</v>
      </c>
      <c r="P224" s="35">
        <v>0</v>
      </c>
      <c r="R224" s="35">
        <v>2673</v>
      </c>
      <c r="T224" s="35">
        <v>4003</v>
      </c>
      <c r="V224" s="35">
        <v>757</v>
      </c>
      <c r="X224" s="35">
        <v>0</v>
      </c>
      <c r="Z224" s="35">
        <v>0</v>
      </c>
      <c r="AB224" s="35">
        <v>0</v>
      </c>
      <c r="AD224" s="35">
        <v>0</v>
      </c>
      <c r="AF224" s="35">
        <v>0</v>
      </c>
      <c r="AH224" s="4">
        <f>SUM(F224:AF224)</f>
        <v>653631</v>
      </c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</row>
    <row r="225" spans="1:65" s="4" customFormat="1">
      <c r="A225" s="4">
        <v>59</v>
      </c>
      <c r="B225" s="4" t="s">
        <v>608</v>
      </c>
      <c r="D225" s="4" t="s">
        <v>173</v>
      </c>
      <c r="F225" s="35">
        <v>0</v>
      </c>
      <c r="H225" s="4">
        <v>2519376</v>
      </c>
      <c r="J225" s="35">
        <v>0</v>
      </c>
      <c r="L225" s="4">
        <v>44502</v>
      </c>
      <c r="N225" s="35">
        <v>0</v>
      </c>
      <c r="P225" s="4">
        <v>38472</v>
      </c>
      <c r="R225" s="4">
        <v>5259</v>
      </c>
      <c r="T225" s="4">
        <v>28040</v>
      </c>
      <c r="V225" s="4">
        <v>30537</v>
      </c>
      <c r="X225" s="35">
        <v>0</v>
      </c>
      <c r="Z225" s="35">
        <v>0</v>
      </c>
      <c r="AB225" s="35">
        <v>0</v>
      </c>
      <c r="AD225" s="35">
        <v>0</v>
      </c>
      <c r="AF225" s="35">
        <v>0</v>
      </c>
      <c r="AH225" s="4">
        <f>SUM(F225:AD225)</f>
        <v>2666186</v>
      </c>
    </row>
    <row r="226" spans="1:65" s="4" customFormat="1">
      <c r="A226" s="4">
        <v>74</v>
      </c>
      <c r="B226" s="4" t="s">
        <v>445</v>
      </c>
      <c r="D226" s="4" t="s">
        <v>19</v>
      </c>
      <c r="F226" s="4">
        <v>3152608</v>
      </c>
      <c r="H226" s="4">
        <v>1375529</v>
      </c>
      <c r="J226" s="35">
        <v>0</v>
      </c>
      <c r="L226" s="4">
        <v>89751</v>
      </c>
      <c r="N226" s="35">
        <v>0</v>
      </c>
      <c r="P226" s="35">
        <v>0</v>
      </c>
      <c r="R226" s="4">
        <v>556</v>
      </c>
      <c r="T226" s="4">
        <v>86862</v>
      </c>
      <c r="V226" s="4">
        <v>24749</v>
      </c>
      <c r="X226" s="35">
        <v>0</v>
      </c>
      <c r="Z226" s="4">
        <v>1025</v>
      </c>
      <c r="AB226" s="35">
        <v>0</v>
      </c>
      <c r="AD226" s="35">
        <v>0</v>
      </c>
      <c r="AF226" s="35">
        <v>0</v>
      </c>
      <c r="AH226" s="4">
        <f>SUM(F226:AD226)</f>
        <v>4731080</v>
      </c>
    </row>
    <row r="227" spans="1:65" s="4" customFormat="1">
      <c r="A227" s="4">
        <v>249</v>
      </c>
      <c r="B227" s="4" t="s">
        <v>23</v>
      </c>
      <c r="D227" s="4" t="s">
        <v>24</v>
      </c>
      <c r="F227" s="4">
        <v>2951781</v>
      </c>
      <c r="H227" s="35">
        <v>0</v>
      </c>
      <c r="J227" s="35">
        <v>0</v>
      </c>
      <c r="L227" s="4">
        <v>79750</v>
      </c>
      <c r="N227" s="35">
        <v>0</v>
      </c>
      <c r="P227" s="35">
        <v>0</v>
      </c>
      <c r="R227" s="4">
        <v>109724</v>
      </c>
      <c r="T227" s="4">
        <v>32419</v>
      </c>
      <c r="V227" s="4">
        <v>19106</v>
      </c>
      <c r="X227" s="35">
        <v>0</v>
      </c>
      <c r="Z227" s="35">
        <v>0</v>
      </c>
      <c r="AB227" s="35">
        <v>0</v>
      </c>
      <c r="AD227" s="35">
        <v>0</v>
      </c>
      <c r="AF227" s="35">
        <v>0</v>
      </c>
      <c r="AH227" s="4">
        <f>SUM(F227:AD227)</f>
        <v>3192780</v>
      </c>
    </row>
    <row r="228" spans="1:65" s="4" customFormat="1">
      <c r="A228" s="4">
        <v>208</v>
      </c>
      <c r="B228" s="4" t="s">
        <v>609</v>
      </c>
      <c r="D228" s="4" t="s">
        <v>102</v>
      </c>
      <c r="F228" s="35">
        <v>0</v>
      </c>
      <c r="H228" s="35">
        <v>0</v>
      </c>
      <c r="J228" s="4">
        <v>1325342</v>
      </c>
      <c r="L228" s="4">
        <v>10694</v>
      </c>
      <c r="N228" s="35">
        <v>0</v>
      </c>
      <c r="P228" s="35">
        <v>0</v>
      </c>
      <c r="R228" s="4">
        <v>22446</v>
      </c>
      <c r="T228" s="35">
        <v>0</v>
      </c>
      <c r="V228" s="4">
        <v>35362</v>
      </c>
      <c r="X228" s="35">
        <v>0</v>
      </c>
      <c r="Z228" s="35">
        <v>0</v>
      </c>
      <c r="AB228" s="35">
        <v>0</v>
      </c>
      <c r="AD228" s="35">
        <v>0</v>
      </c>
      <c r="AF228" s="35">
        <v>0</v>
      </c>
      <c r="AH228" s="4">
        <f>SUM(F228:AD228)</f>
        <v>1393844</v>
      </c>
    </row>
    <row r="229" spans="1:65" s="4" customFormat="1">
      <c r="A229" s="4">
        <v>64</v>
      </c>
      <c r="B229" s="35" t="s">
        <v>238</v>
      </c>
      <c r="C229" s="35"/>
      <c r="D229" s="35" t="s">
        <v>46</v>
      </c>
      <c r="E229" s="35"/>
      <c r="F229" s="35">
        <v>0</v>
      </c>
      <c r="G229" s="35"/>
      <c r="H229" s="35">
        <v>527740</v>
      </c>
      <c r="I229" s="35"/>
      <c r="J229" s="35">
        <v>0</v>
      </c>
      <c r="K229" s="35"/>
      <c r="L229" s="35">
        <v>21451</v>
      </c>
      <c r="M229" s="35"/>
      <c r="N229" s="35">
        <v>0</v>
      </c>
      <c r="O229" s="35"/>
      <c r="P229" s="35">
        <v>0</v>
      </c>
      <c r="Q229" s="35"/>
      <c r="R229" s="35">
        <v>0</v>
      </c>
      <c r="S229" s="35"/>
      <c r="T229" s="35">
        <v>3006</v>
      </c>
      <c r="U229" s="35"/>
      <c r="V229" s="35">
        <v>10574</v>
      </c>
      <c r="W229" s="35"/>
      <c r="X229" s="35">
        <v>0</v>
      </c>
      <c r="Y229" s="35"/>
      <c r="Z229" s="35">
        <v>0</v>
      </c>
      <c r="AA229" s="35"/>
      <c r="AB229" s="35">
        <v>0</v>
      </c>
      <c r="AC229" s="35"/>
      <c r="AD229" s="35">
        <v>0</v>
      </c>
      <c r="AE229" s="35"/>
      <c r="AF229" s="35">
        <v>0</v>
      </c>
      <c r="AG229" s="35"/>
      <c r="AH229" s="4">
        <f>SUM(F229:AF229)</f>
        <v>562771</v>
      </c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</row>
    <row r="230" spans="1:65" s="4" customFormat="1">
      <c r="A230" s="4">
        <v>188</v>
      </c>
      <c r="B230" s="35" t="s">
        <v>585</v>
      </c>
      <c r="C230" s="35"/>
      <c r="D230" s="35" t="s">
        <v>586</v>
      </c>
      <c r="E230" s="35"/>
      <c r="F230" s="35">
        <v>0</v>
      </c>
      <c r="G230" s="35"/>
      <c r="H230" s="35">
        <v>1256901</v>
      </c>
      <c r="I230" s="35"/>
      <c r="J230" s="35">
        <v>386</v>
      </c>
      <c r="K230" s="35"/>
      <c r="L230" s="35">
        <v>17987</v>
      </c>
      <c r="M230" s="35"/>
      <c r="N230" s="35">
        <v>0</v>
      </c>
      <c r="O230" s="35"/>
      <c r="P230" s="35">
        <v>0</v>
      </c>
      <c r="Q230" s="35"/>
      <c r="R230" s="35">
        <v>41787</v>
      </c>
      <c r="S230" s="35"/>
      <c r="T230" s="35">
        <v>34928</v>
      </c>
      <c r="U230" s="35"/>
      <c r="V230" s="35">
        <v>141207</v>
      </c>
      <c r="W230" s="35"/>
      <c r="X230" s="35">
        <v>0</v>
      </c>
      <c r="Y230" s="35"/>
      <c r="Z230" s="35">
        <v>0</v>
      </c>
      <c r="AA230" s="35"/>
      <c r="AB230" s="35">
        <v>0</v>
      </c>
      <c r="AC230" s="35"/>
      <c r="AD230" s="35">
        <v>0</v>
      </c>
      <c r="AE230" s="35"/>
      <c r="AF230" s="35">
        <v>0</v>
      </c>
      <c r="AG230" s="35"/>
      <c r="AH230" s="4">
        <f>SUM(F230:AF230)</f>
        <v>1493196</v>
      </c>
    </row>
    <row r="231" spans="1:65" s="4" customFormat="1">
      <c r="A231" s="4">
        <v>16</v>
      </c>
      <c r="B231" s="4" t="s">
        <v>239</v>
      </c>
      <c r="D231" s="4" t="s">
        <v>173</v>
      </c>
      <c r="F231" s="35">
        <v>466000</v>
      </c>
      <c r="H231" s="35">
        <v>1061841</v>
      </c>
      <c r="J231" s="35">
        <v>53063</v>
      </c>
      <c r="L231" s="35">
        <v>23648</v>
      </c>
      <c r="N231" s="35">
        <v>0</v>
      </c>
      <c r="P231" s="35">
        <v>74</v>
      </c>
      <c r="R231" s="35">
        <v>1986</v>
      </c>
      <c r="T231" s="35">
        <v>32887</v>
      </c>
      <c r="V231" s="35">
        <v>30260</v>
      </c>
      <c r="X231" s="35">
        <v>0</v>
      </c>
      <c r="Z231" s="35">
        <v>0</v>
      </c>
      <c r="AB231" s="35">
        <v>0</v>
      </c>
      <c r="AD231" s="35">
        <v>9148</v>
      </c>
      <c r="AF231" s="35">
        <v>0</v>
      </c>
      <c r="AH231" s="4">
        <f>SUM(F231:AF231)</f>
        <v>1678907</v>
      </c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</row>
    <row r="232" spans="1:65" s="4" customFormat="1">
      <c r="A232" s="4">
        <v>141</v>
      </c>
      <c r="B232" s="4" t="s">
        <v>313</v>
      </c>
      <c r="D232" s="4" t="s">
        <v>215</v>
      </c>
      <c r="F232" s="4">
        <v>3188943</v>
      </c>
      <c r="H232" s="4">
        <v>9784495</v>
      </c>
      <c r="J232" s="4">
        <v>682169</v>
      </c>
      <c r="L232" s="4">
        <v>247684</v>
      </c>
      <c r="N232" s="35">
        <v>0</v>
      </c>
      <c r="P232" s="4">
        <v>21</v>
      </c>
      <c r="R232" s="4">
        <v>200589</v>
      </c>
      <c r="T232" s="4">
        <v>181463</v>
      </c>
      <c r="V232" s="4">
        <v>141344</v>
      </c>
      <c r="X232" s="35">
        <v>0</v>
      </c>
      <c r="Z232" s="4">
        <v>111650</v>
      </c>
      <c r="AB232" s="35">
        <v>0</v>
      </c>
      <c r="AD232" s="35">
        <v>0</v>
      </c>
      <c r="AF232" s="35">
        <v>0</v>
      </c>
      <c r="AH232" s="4">
        <f>SUM(F232:AD232)</f>
        <v>14538358</v>
      </c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</row>
    <row r="233" spans="1:65" s="4" customFormat="1">
      <c r="A233" s="4">
        <v>220</v>
      </c>
      <c r="B233" s="4" t="s">
        <v>241</v>
      </c>
      <c r="D233" s="4" t="s">
        <v>193</v>
      </c>
      <c r="F233" s="35">
        <v>0</v>
      </c>
      <c r="H233" s="4">
        <v>383521</v>
      </c>
      <c r="J233" s="35">
        <v>0</v>
      </c>
      <c r="L233" s="4">
        <v>6432</v>
      </c>
      <c r="N233" s="35">
        <v>0</v>
      </c>
      <c r="P233" s="35">
        <v>0</v>
      </c>
      <c r="R233" s="4">
        <v>1390</v>
      </c>
      <c r="T233" s="4">
        <v>5413</v>
      </c>
      <c r="V233" s="4">
        <v>912</v>
      </c>
      <c r="X233" s="35">
        <v>0</v>
      </c>
      <c r="Z233" s="35">
        <v>0</v>
      </c>
      <c r="AB233" s="35">
        <v>0</v>
      </c>
      <c r="AD233" s="35">
        <v>0</v>
      </c>
      <c r="AF233" s="35">
        <v>0</v>
      </c>
      <c r="AH233" s="4">
        <f>SUM(F233:AD233)</f>
        <v>397668</v>
      </c>
    </row>
    <row r="234" spans="1:65" s="4" customFormat="1">
      <c r="N234" s="35"/>
      <c r="P234" s="35"/>
      <c r="R234" s="35"/>
      <c r="X234" s="35"/>
      <c r="Z234" s="35"/>
      <c r="AB234" s="35"/>
      <c r="AD234" s="35"/>
      <c r="AF234" s="3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</row>
    <row r="235" spans="1:65" s="4" customFormat="1">
      <c r="N235" s="35"/>
      <c r="P235" s="35"/>
      <c r="R235" s="35"/>
      <c r="X235" s="35"/>
      <c r="Z235" s="35"/>
      <c r="AB235" s="35"/>
      <c r="AD235" s="35"/>
      <c r="AF235" s="35"/>
      <c r="AH235" s="47" t="s">
        <v>593</v>
      </c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</row>
    <row r="236" spans="1:65">
      <c r="B236" s="3" t="s">
        <v>523</v>
      </c>
    </row>
    <row r="237" spans="1:65">
      <c r="B237" s="3" t="s">
        <v>527</v>
      </c>
    </row>
    <row r="238" spans="1:65">
      <c r="B238" s="41" t="s">
        <v>7</v>
      </c>
    </row>
    <row r="239" spans="1:65" s="36" customFormat="1">
      <c r="H239" s="36" t="s">
        <v>282</v>
      </c>
    </row>
    <row r="240" spans="1:65" s="36" customFormat="1">
      <c r="F240" s="36" t="s">
        <v>31</v>
      </c>
      <c r="H240" s="36" t="s">
        <v>283</v>
      </c>
      <c r="P240" s="36" t="s">
        <v>29</v>
      </c>
      <c r="R240" s="36" t="s">
        <v>289</v>
      </c>
      <c r="X240" s="36" t="s">
        <v>294</v>
      </c>
      <c r="AD240" s="36" t="s">
        <v>0</v>
      </c>
    </row>
    <row r="241" spans="1:65" s="36" customFormat="1" ht="12" customHeight="1">
      <c r="F241" s="36" t="s">
        <v>0</v>
      </c>
      <c r="H241" s="36" t="s">
        <v>284</v>
      </c>
      <c r="J241" s="36" t="s">
        <v>348</v>
      </c>
      <c r="L241" s="36" t="s">
        <v>286</v>
      </c>
      <c r="P241" s="36" t="s">
        <v>288</v>
      </c>
      <c r="R241" s="36" t="s">
        <v>290</v>
      </c>
      <c r="T241" s="36" t="s">
        <v>292</v>
      </c>
      <c r="X241" s="36" t="s">
        <v>295</v>
      </c>
      <c r="AD241" s="36" t="s">
        <v>296</v>
      </c>
      <c r="AF241" s="36" t="s">
        <v>564</v>
      </c>
    </row>
    <row r="242" spans="1:65" s="36" customFormat="1" ht="12" customHeight="1">
      <c r="A242" s="36" t="s">
        <v>580</v>
      </c>
      <c r="B242" s="37" t="s">
        <v>5</v>
      </c>
      <c r="D242" s="37" t="s">
        <v>6</v>
      </c>
      <c r="F242" s="37" t="s">
        <v>281</v>
      </c>
      <c r="H242" s="37" t="s">
        <v>285</v>
      </c>
      <c r="J242" s="37" t="s">
        <v>349</v>
      </c>
      <c r="L242" s="37" t="s">
        <v>287</v>
      </c>
      <c r="N242" s="37" t="s">
        <v>560</v>
      </c>
      <c r="P242" s="37" t="s">
        <v>562</v>
      </c>
      <c r="R242" s="37" t="s">
        <v>291</v>
      </c>
      <c r="T242" s="37" t="s">
        <v>293</v>
      </c>
      <c r="V242" s="37" t="s">
        <v>1</v>
      </c>
      <c r="X242" s="37" t="s">
        <v>32</v>
      </c>
      <c r="Z242" s="37" t="s">
        <v>509</v>
      </c>
      <c r="AB242" s="37" t="s">
        <v>510</v>
      </c>
      <c r="AD242" s="37" t="s">
        <v>297</v>
      </c>
      <c r="AF242" s="37" t="s">
        <v>424</v>
      </c>
      <c r="AH242" s="49" t="s">
        <v>28</v>
      </c>
    </row>
    <row r="243" spans="1:65" s="4" customFormat="1">
      <c r="A243" s="4">
        <v>222</v>
      </c>
      <c r="B243" s="38" t="s">
        <v>314</v>
      </c>
      <c r="C243" s="38"/>
      <c r="D243" s="38" t="s">
        <v>61</v>
      </c>
      <c r="E243" s="38"/>
      <c r="F243" s="38">
        <v>18116</v>
      </c>
      <c r="G243" s="38"/>
      <c r="H243" s="38">
        <v>107779</v>
      </c>
      <c r="I243" s="38"/>
      <c r="J243" s="38">
        <v>0</v>
      </c>
      <c r="K243" s="38"/>
      <c r="L243" s="38">
        <v>1748</v>
      </c>
      <c r="M243" s="38"/>
      <c r="N243" s="38">
        <v>0</v>
      </c>
      <c r="O243" s="38"/>
      <c r="P243" s="38">
        <v>0</v>
      </c>
      <c r="Q243" s="38"/>
      <c r="R243" s="38">
        <v>1451</v>
      </c>
      <c r="S243" s="38"/>
      <c r="T243" s="38">
        <v>1133</v>
      </c>
      <c r="U243" s="38"/>
      <c r="V243" s="38">
        <v>2183</v>
      </c>
      <c r="W243" s="38"/>
      <c r="X243" s="38">
        <v>0</v>
      </c>
      <c r="Y243" s="38"/>
      <c r="Z243" s="38">
        <v>0</v>
      </c>
      <c r="AA243" s="38"/>
      <c r="AB243" s="38">
        <v>0</v>
      </c>
      <c r="AC243" s="38"/>
      <c r="AD243" s="38">
        <v>0</v>
      </c>
      <c r="AE243" s="38"/>
      <c r="AF243" s="38">
        <v>0</v>
      </c>
      <c r="AG243" s="38"/>
      <c r="AH243" s="7">
        <f>SUM(F243:AF243)</f>
        <v>132410</v>
      </c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</row>
    <row r="244" spans="1:65" s="4" customFormat="1">
      <c r="A244" s="4">
        <v>155</v>
      </c>
      <c r="B244" s="35" t="s">
        <v>467</v>
      </c>
      <c r="C244" s="35"/>
      <c r="D244" s="35" t="s">
        <v>167</v>
      </c>
      <c r="E244" s="35"/>
      <c r="F244" s="35">
        <v>530876</v>
      </c>
      <c r="G244" s="35"/>
      <c r="H244" s="35">
        <v>616220</v>
      </c>
      <c r="I244" s="35"/>
      <c r="J244" s="35">
        <v>0</v>
      </c>
      <c r="K244" s="35"/>
      <c r="L244" s="35">
        <v>33316</v>
      </c>
      <c r="M244" s="35"/>
      <c r="N244" s="35">
        <v>0</v>
      </c>
      <c r="O244" s="35"/>
      <c r="P244" s="35">
        <v>5</v>
      </c>
      <c r="Q244" s="35"/>
      <c r="R244" s="35">
        <v>39593</v>
      </c>
      <c r="S244" s="35"/>
      <c r="T244" s="35">
        <v>101447</v>
      </c>
      <c r="U244" s="35"/>
      <c r="V244" s="35">
        <v>22037</v>
      </c>
      <c r="W244" s="35"/>
      <c r="X244" s="35">
        <v>0</v>
      </c>
      <c r="Y244" s="35"/>
      <c r="Z244" s="35">
        <v>22000</v>
      </c>
      <c r="AA244" s="35"/>
      <c r="AB244" s="35">
        <v>0</v>
      </c>
      <c r="AC244" s="35"/>
      <c r="AD244" s="35">
        <v>0</v>
      </c>
      <c r="AE244" s="35"/>
      <c r="AF244" s="35">
        <v>0</v>
      </c>
      <c r="AG244" s="35"/>
      <c r="AH244" s="4">
        <f>SUM(F244:AF244)</f>
        <v>1365494</v>
      </c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</row>
    <row r="245" spans="1:65" s="4" customFormat="1">
      <c r="A245" s="39">
        <v>130.1</v>
      </c>
      <c r="B245" s="35" t="s">
        <v>243</v>
      </c>
      <c r="C245" s="35"/>
      <c r="D245" s="35" t="s">
        <v>43</v>
      </c>
      <c r="E245" s="35"/>
      <c r="F245" s="35">
        <v>0</v>
      </c>
      <c r="G245" s="35"/>
      <c r="H245" s="35">
        <v>182649</v>
      </c>
      <c r="I245" s="35"/>
      <c r="J245" s="35">
        <v>0</v>
      </c>
      <c r="K245" s="35"/>
      <c r="L245" s="35">
        <v>7221</v>
      </c>
      <c r="M245" s="35"/>
      <c r="N245" s="35">
        <v>0</v>
      </c>
      <c r="O245" s="35"/>
      <c r="P245" s="35">
        <v>0</v>
      </c>
      <c r="Q245" s="35"/>
      <c r="R245" s="35">
        <v>2556</v>
      </c>
      <c r="S245" s="35"/>
      <c r="T245" s="35">
        <v>5865</v>
      </c>
      <c r="U245" s="35"/>
      <c r="V245" s="35">
        <v>312</v>
      </c>
      <c r="W245" s="35"/>
      <c r="X245" s="35">
        <v>0</v>
      </c>
      <c r="Y245" s="35"/>
      <c r="Z245" s="35">
        <v>0</v>
      </c>
      <c r="AA245" s="35"/>
      <c r="AB245" s="35">
        <v>0</v>
      </c>
      <c r="AC245" s="35"/>
      <c r="AD245" s="35">
        <v>0</v>
      </c>
      <c r="AE245" s="35"/>
      <c r="AF245" s="35">
        <v>0</v>
      </c>
      <c r="AG245" s="35"/>
      <c r="AH245" s="4">
        <f>SUM(F245:AF245)</f>
        <v>198603</v>
      </c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</row>
    <row r="246" spans="1:65" s="4" customFormat="1">
      <c r="A246" s="4">
        <v>245</v>
      </c>
      <c r="B246" s="35" t="s">
        <v>343</v>
      </c>
      <c r="C246" s="35"/>
      <c r="D246" s="35" t="s">
        <v>50</v>
      </c>
      <c r="E246" s="35"/>
      <c r="F246" s="35">
        <v>0</v>
      </c>
      <c r="G246" s="35"/>
      <c r="H246" s="35">
        <v>189419</v>
      </c>
      <c r="I246" s="35"/>
      <c r="J246" s="35">
        <v>0</v>
      </c>
      <c r="K246" s="35"/>
      <c r="L246" s="35">
        <v>1598</v>
      </c>
      <c r="M246" s="35"/>
      <c r="N246" s="35">
        <v>0</v>
      </c>
      <c r="O246" s="35"/>
      <c r="P246" s="35">
        <v>0</v>
      </c>
      <c r="Q246" s="35"/>
      <c r="R246" s="35">
        <v>85</v>
      </c>
      <c r="S246" s="35"/>
      <c r="T246" s="35">
        <v>411</v>
      </c>
      <c r="U246" s="35"/>
      <c r="V246" s="35">
        <v>1105</v>
      </c>
      <c r="W246" s="35"/>
      <c r="X246" s="35">
        <v>0</v>
      </c>
      <c r="Y246" s="35"/>
      <c r="Z246" s="35">
        <v>0</v>
      </c>
      <c r="AA246" s="35"/>
      <c r="AB246" s="35">
        <v>14568</v>
      </c>
      <c r="AC246" s="35"/>
      <c r="AD246" s="35">
        <v>0</v>
      </c>
      <c r="AE246" s="35"/>
      <c r="AF246" s="35">
        <v>0</v>
      </c>
      <c r="AG246" s="35"/>
      <c r="AH246" s="4">
        <f>SUM(F246:AF246)</f>
        <v>207186</v>
      </c>
    </row>
    <row r="247" spans="1:65" s="4" customFormat="1">
      <c r="A247" s="4">
        <v>211</v>
      </c>
      <c r="B247" s="4" t="s">
        <v>244</v>
      </c>
      <c r="D247" s="4" t="s">
        <v>19</v>
      </c>
      <c r="F247" s="4">
        <v>3155979</v>
      </c>
      <c r="H247" s="4">
        <v>560575</v>
      </c>
      <c r="J247" s="4">
        <v>490248</v>
      </c>
      <c r="L247" s="4">
        <v>61150</v>
      </c>
      <c r="N247" s="35">
        <v>0</v>
      </c>
      <c r="P247" s="35">
        <v>0</v>
      </c>
      <c r="R247" s="4">
        <v>16605</v>
      </c>
      <c r="T247" s="4">
        <v>145806</v>
      </c>
      <c r="V247" s="4">
        <v>3781</v>
      </c>
      <c r="X247" s="4">
        <v>0</v>
      </c>
      <c r="Z247" s="4">
        <v>0</v>
      </c>
      <c r="AB247" s="4">
        <v>0</v>
      </c>
      <c r="AD247" s="4">
        <v>0</v>
      </c>
      <c r="AF247" s="4">
        <v>0</v>
      </c>
      <c r="AH247" s="4">
        <f>SUM(F247:AD247)</f>
        <v>4434144</v>
      </c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</row>
    <row r="248" spans="1:65" s="4" customFormat="1">
      <c r="A248" s="4">
        <v>218</v>
      </c>
      <c r="B248" s="4" t="s">
        <v>245</v>
      </c>
      <c r="D248" s="4" t="s">
        <v>25</v>
      </c>
      <c r="F248" s="35">
        <v>0</v>
      </c>
      <c r="H248" s="4">
        <v>1721886</v>
      </c>
      <c r="J248" s="35">
        <v>0</v>
      </c>
      <c r="L248" s="4">
        <v>28692</v>
      </c>
      <c r="N248" s="35">
        <v>0</v>
      </c>
      <c r="P248" s="35">
        <v>0</v>
      </c>
      <c r="R248" s="4">
        <v>20145</v>
      </c>
      <c r="T248" s="4">
        <v>1405</v>
      </c>
      <c r="V248" s="4">
        <f>17294+10706</f>
        <v>28000</v>
      </c>
      <c r="X248" s="35">
        <v>0</v>
      </c>
      <c r="Z248" s="35">
        <v>0</v>
      </c>
      <c r="AB248" s="35">
        <v>0</v>
      </c>
      <c r="AD248" s="35">
        <v>0</v>
      </c>
      <c r="AF248" s="35">
        <v>0</v>
      </c>
      <c r="AH248" s="4">
        <f>SUM(F248:AD248)</f>
        <v>1800128</v>
      </c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</row>
    <row r="249" spans="1:65" s="4" customFormat="1">
      <c r="A249" s="4">
        <v>154</v>
      </c>
      <c r="B249" s="4" t="s">
        <v>246</v>
      </c>
      <c r="D249" s="4" t="s">
        <v>65</v>
      </c>
      <c r="F249" s="4">
        <v>391398</v>
      </c>
      <c r="H249" s="4">
        <v>608681</v>
      </c>
      <c r="J249" s="4">
        <v>27346</v>
      </c>
      <c r="L249" s="4">
        <v>20734</v>
      </c>
      <c r="N249" s="35">
        <v>0</v>
      </c>
      <c r="P249" s="35">
        <v>0</v>
      </c>
      <c r="R249" s="4">
        <v>25</v>
      </c>
      <c r="T249" s="4">
        <v>12347</v>
      </c>
      <c r="V249" s="4">
        <v>9175</v>
      </c>
      <c r="X249" s="35">
        <v>0</v>
      </c>
      <c r="Z249" s="35">
        <v>0</v>
      </c>
      <c r="AB249" s="35">
        <v>0</v>
      </c>
      <c r="AD249" s="35">
        <v>0</v>
      </c>
      <c r="AF249" s="35">
        <v>0</v>
      </c>
      <c r="AH249" s="4">
        <f>SUM(F249:AD249)</f>
        <v>1069706</v>
      </c>
    </row>
    <row r="250" spans="1:65" s="4" customFormat="1">
      <c r="A250" s="4">
        <v>192</v>
      </c>
      <c r="B250" s="35" t="s">
        <v>247</v>
      </c>
      <c r="C250" s="35"/>
      <c r="D250" s="35" t="s">
        <v>69</v>
      </c>
      <c r="E250" s="35"/>
      <c r="F250" s="35">
        <v>0</v>
      </c>
      <c r="G250" s="35"/>
      <c r="H250" s="35">
        <v>202798</v>
      </c>
      <c r="I250" s="35"/>
      <c r="J250" s="35">
        <v>42441</v>
      </c>
      <c r="K250" s="35"/>
      <c r="L250" s="35">
        <v>2772</v>
      </c>
      <c r="M250" s="35"/>
      <c r="N250" s="35">
        <v>0</v>
      </c>
      <c r="O250" s="35"/>
      <c r="P250" s="35">
        <v>0</v>
      </c>
      <c r="Q250" s="35"/>
      <c r="R250" s="35">
        <v>345</v>
      </c>
      <c r="S250" s="35"/>
      <c r="T250" s="35">
        <v>9750</v>
      </c>
      <c r="U250" s="35"/>
      <c r="V250" s="35">
        <v>3502</v>
      </c>
      <c r="W250" s="35"/>
      <c r="X250" s="35">
        <v>0</v>
      </c>
      <c r="Y250" s="35"/>
      <c r="Z250" s="35">
        <v>0</v>
      </c>
      <c r="AA250" s="35"/>
      <c r="AB250" s="35">
        <v>0</v>
      </c>
      <c r="AC250" s="35"/>
      <c r="AD250" s="35">
        <v>0</v>
      </c>
      <c r="AE250" s="35"/>
      <c r="AF250" s="35">
        <v>0</v>
      </c>
      <c r="AG250" s="35"/>
      <c r="AH250" s="4">
        <f>SUM(F250:AF250)</f>
        <v>261608</v>
      </c>
    </row>
    <row r="251" spans="1:65" s="4" customFormat="1">
      <c r="A251" s="4">
        <v>221</v>
      </c>
      <c r="B251" s="35" t="s">
        <v>347</v>
      </c>
      <c r="C251" s="35"/>
      <c r="D251" s="35" t="s">
        <v>62</v>
      </c>
      <c r="E251" s="35"/>
      <c r="F251" s="35">
        <v>0</v>
      </c>
      <c r="G251" s="35"/>
      <c r="H251" s="35">
        <v>306680</v>
      </c>
      <c r="I251" s="35"/>
      <c r="J251" s="35">
        <v>1146</v>
      </c>
      <c r="K251" s="35"/>
      <c r="L251" s="35">
        <v>13107</v>
      </c>
      <c r="M251" s="35"/>
      <c r="N251" s="35">
        <v>0</v>
      </c>
      <c r="O251" s="35"/>
      <c r="P251" s="35">
        <v>0</v>
      </c>
      <c r="Q251" s="35"/>
      <c r="R251" s="35">
        <v>7554</v>
      </c>
      <c r="S251" s="35"/>
      <c r="T251" s="35">
        <v>3087</v>
      </c>
      <c r="U251" s="35"/>
      <c r="V251" s="35">
        <v>0</v>
      </c>
      <c r="W251" s="35"/>
      <c r="X251" s="35">
        <v>0</v>
      </c>
      <c r="Y251" s="35"/>
      <c r="Z251" s="35">
        <v>50000</v>
      </c>
      <c r="AA251" s="35"/>
      <c r="AB251" s="35">
        <v>0</v>
      </c>
      <c r="AC251" s="35"/>
      <c r="AD251" s="35">
        <v>0</v>
      </c>
      <c r="AE251" s="35"/>
      <c r="AF251" s="35">
        <v>0</v>
      </c>
      <c r="AG251" s="35"/>
      <c r="AH251" s="4">
        <f>SUM(F251:AF251)</f>
        <v>381574</v>
      </c>
    </row>
    <row r="252" spans="1:65" s="4" customFormat="1">
      <c r="A252" s="4">
        <v>199</v>
      </c>
      <c r="B252" s="4" t="s">
        <v>248</v>
      </c>
      <c r="D252" s="4" t="s">
        <v>51</v>
      </c>
      <c r="F252" s="35">
        <v>0</v>
      </c>
      <c r="H252" s="4">
        <v>884040</v>
      </c>
      <c r="J252" s="35">
        <v>0</v>
      </c>
      <c r="L252" s="4">
        <v>27431</v>
      </c>
      <c r="N252" s="35">
        <v>0</v>
      </c>
      <c r="P252" s="35">
        <v>0</v>
      </c>
      <c r="R252" s="4">
        <v>18708</v>
      </c>
      <c r="T252" s="4">
        <v>11368</v>
      </c>
      <c r="V252" s="4">
        <v>215</v>
      </c>
      <c r="X252" s="35">
        <v>0</v>
      </c>
      <c r="Z252" s="35">
        <v>0</v>
      </c>
      <c r="AB252" s="35">
        <v>0</v>
      </c>
      <c r="AD252" s="35">
        <v>0</v>
      </c>
      <c r="AF252" s="35">
        <v>0</v>
      </c>
      <c r="AH252" s="4">
        <f>SUM(F252:AD252)</f>
        <v>941762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</row>
    <row r="253" spans="1:65" s="4" customFormat="1">
      <c r="A253" s="4">
        <v>69</v>
      </c>
      <c r="B253" s="4" t="s">
        <v>249</v>
      </c>
      <c r="D253" s="4" t="s">
        <v>54</v>
      </c>
      <c r="F253" s="35">
        <v>0</v>
      </c>
      <c r="H253" s="4">
        <v>664183</v>
      </c>
      <c r="J253" s="35">
        <v>0</v>
      </c>
      <c r="L253" s="4">
        <v>8483</v>
      </c>
      <c r="N253" s="35">
        <v>0</v>
      </c>
      <c r="P253" s="35">
        <v>0</v>
      </c>
      <c r="R253" s="4">
        <v>636</v>
      </c>
      <c r="T253" s="4">
        <v>1331</v>
      </c>
      <c r="V253" s="4">
        <v>824</v>
      </c>
      <c r="X253" s="35">
        <v>0</v>
      </c>
      <c r="Z253" s="35">
        <v>0</v>
      </c>
      <c r="AB253" s="35">
        <v>0</v>
      </c>
      <c r="AD253" s="35">
        <v>0</v>
      </c>
      <c r="AF253" s="35">
        <v>0</v>
      </c>
      <c r="AH253" s="4">
        <f>SUM(F253:AD253)</f>
        <v>675457</v>
      </c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</row>
    <row r="254" spans="1:65" s="4" customFormat="1">
      <c r="A254" s="4">
        <v>77</v>
      </c>
      <c r="B254" s="4" t="s">
        <v>315</v>
      </c>
      <c r="D254" s="4" t="s">
        <v>167</v>
      </c>
      <c r="F254" s="4">
        <v>681340</v>
      </c>
      <c r="H254" s="4">
        <v>1810974</v>
      </c>
      <c r="J254" s="35">
        <v>0</v>
      </c>
      <c r="L254" s="4">
        <v>79950</v>
      </c>
      <c r="N254" s="35">
        <v>0</v>
      </c>
      <c r="P254" s="4">
        <v>1000</v>
      </c>
      <c r="R254" s="4">
        <v>155129</v>
      </c>
      <c r="T254" s="4">
        <v>39341</v>
      </c>
      <c r="V254" s="4">
        <v>30864</v>
      </c>
      <c r="X254" s="35">
        <v>0</v>
      </c>
      <c r="Z254" s="4">
        <v>13099</v>
      </c>
      <c r="AB254" s="35">
        <v>0</v>
      </c>
      <c r="AD254" s="35">
        <v>0</v>
      </c>
      <c r="AF254" s="35">
        <v>0</v>
      </c>
      <c r="AH254" s="4">
        <f>SUM(F254:AD254)</f>
        <v>2811697</v>
      </c>
    </row>
    <row r="255" spans="1:65" s="4" customFormat="1">
      <c r="A255" s="4">
        <v>127</v>
      </c>
      <c r="B255" s="4" t="s">
        <v>250</v>
      </c>
      <c r="D255" s="4" t="s">
        <v>68</v>
      </c>
      <c r="F255" s="35">
        <v>0</v>
      </c>
      <c r="H255" s="35">
        <v>267456</v>
      </c>
      <c r="J255" s="35">
        <v>0</v>
      </c>
      <c r="L255" s="35">
        <v>12706</v>
      </c>
      <c r="N255" s="35">
        <v>0</v>
      </c>
      <c r="P255" s="35">
        <v>0</v>
      </c>
      <c r="R255" s="35">
        <v>1350</v>
      </c>
      <c r="T255" s="35">
        <v>5972</v>
      </c>
      <c r="V255" s="35">
        <v>0</v>
      </c>
      <c r="X255" s="35">
        <v>0</v>
      </c>
      <c r="Z255" s="35">
        <v>0</v>
      </c>
      <c r="AB255" s="35">
        <v>0</v>
      </c>
      <c r="AD255" s="35">
        <v>0</v>
      </c>
      <c r="AF255" s="35">
        <v>0</v>
      </c>
      <c r="AH255" s="4">
        <f>SUM(F255:AF255)</f>
        <v>287484</v>
      </c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</row>
    <row r="256" spans="1:65" s="4" customFormat="1">
      <c r="A256" s="4">
        <v>126</v>
      </c>
      <c r="B256" s="4" t="s">
        <v>251</v>
      </c>
      <c r="D256" s="4" t="s">
        <v>45</v>
      </c>
      <c r="F256" s="35">
        <v>0</v>
      </c>
      <c r="H256" s="35">
        <v>167186</v>
      </c>
      <c r="J256" s="35">
        <v>0</v>
      </c>
      <c r="L256" s="35">
        <v>1748</v>
      </c>
      <c r="N256" s="35">
        <v>0</v>
      </c>
      <c r="P256" s="35">
        <v>0</v>
      </c>
      <c r="R256" s="35">
        <v>19845</v>
      </c>
      <c r="T256" s="35">
        <v>348</v>
      </c>
      <c r="V256" s="35">
        <v>1837</v>
      </c>
      <c r="X256" s="35">
        <v>0</v>
      </c>
      <c r="Z256" s="35">
        <v>0</v>
      </c>
      <c r="AB256" s="35">
        <v>0</v>
      </c>
      <c r="AD256" s="35">
        <v>0</v>
      </c>
      <c r="AF256" s="35">
        <v>0</v>
      </c>
      <c r="AH256" s="4">
        <f>SUM(F256:AF256)</f>
        <v>190964</v>
      </c>
    </row>
    <row r="257" spans="1:65" s="4" customFormat="1">
      <c r="A257" s="4">
        <v>120</v>
      </c>
      <c r="B257" s="4" t="s">
        <v>252</v>
      </c>
      <c r="D257" s="4" t="s">
        <v>19</v>
      </c>
      <c r="F257" s="4">
        <v>3163481</v>
      </c>
      <c r="H257" s="4">
        <v>1819747</v>
      </c>
      <c r="J257" s="35">
        <v>0</v>
      </c>
      <c r="L257" s="4">
        <v>132084</v>
      </c>
      <c r="N257" s="35">
        <v>0</v>
      </c>
      <c r="P257" s="35">
        <v>0</v>
      </c>
      <c r="R257" s="4">
        <v>4080</v>
      </c>
      <c r="T257" s="4">
        <v>21853</v>
      </c>
      <c r="V257" s="4">
        <v>119249</v>
      </c>
      <c r="X257" s="35">
        <v>0</v>
      </c>
      <c r="Z257" s="35">
        <v>0</v>
      </c>
      <c r="AB257" s="35">
        <v>0</v>
      </c>
      <c r="AD257" s="35">
        <v>0</v>
      </c>
      <c r="AF257" s="35">
        <v>0</v>
      </c>
      <c r="AH257" s="4">
        <f>SUM(F257:AD257)</f>
        <v>5260494</v>
      </c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</row>
    <row r="258" spans="1:65" s="4" customFormat="1">
      <c r="A258" s="4">
        <v>202</v>
      </c>
      <c r="B258" s="4" t="s">
        <v>447</v>
      </c>
      <c r="D258" s="4" t="s">
        <v>170</v>
      </c>
      <c r="F258" s="35">
        <v>0</v>
      </c>
      <c r="H258" s="35">
        <v>0</v>
      </c>
      <c r="J258" s="4">
        <v>32450</v>
      </c>
      <c r="L258" s="4">
        <v>10367</v>
      </c>
      <c r="N258" s="35">
        <v>0</v>
      </c>
      <c r="P258" s="35">
        <v>0</v>
      </c>
      <c r="R258" s="4">
        <v>15029</v>
      </c>
      <c r="T258" s="4">
        <v>5593</v>
      </c>
      <c r="V258" s="4">
        <v>6389</v>
      </c>
      <c r="X258" s="35">
        <v>0</v>
      </c>
      <c r="Z258" s="35">
        <v>0</v>
      </c>
      <c r="AB258" s="35">
        <v>0</v>
      </c>
      <c r="AD258" s="35">
        <v>0</v>
      </c>
      <c r="AF258" s="35">
        <v>0</v>
      </c>
      <c r="AH258" s="4">
        <f>SUM(F258:AD258)</f>
        <v>69828</v>
      </c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</row>
    <row r="259" spans="1:65" s="4" customFormat="1">
      <c r="A259" s="4">
        <v>178</v>
      </c>
      <c r="B259" s="4" t="s">
        <v>254</v>
      </c>
      <c r="D259" s="4" t="s">
        <v>92</v>
      </c>
      <c r="F259" s="35">
        <v>0</v>
      </c>
      <c r="H259" s="4">
        <v>4058380</v>
      </c>
      <c r="J259" s="35">
        <v>0</v>
      </c>
      <c r="L259" s="4">
        <v>183238</v>
      </c>
      <c r="N259" s="35">
        <v>0</v>
      </c>
      <c r="P259" s="35">
        <v>0</v>
      </c>
      <c r="R259" s="4">
        <v>13081</v>
      </c>
      <c r="T259" s="4">
        <v>28616</v>
      </c>
      <c r="V259" s="4">
        <v>33455</v>
      </c>
      <c r="X259" s="35">
        <v>0</v>
      </c>
      <c r="Z259" s="35">
        <v>0</v>
      </c>
      <c r="AB259" s="35">
        <v>0</v>
      </c>
      <c r="AD259" s="35">
        <v>0</v>
      </c>
      <c r="AF259" s="35">
        <v>0</v>
      </c>
      <c r="AH259" s="4">
        <f>SUM(F259:AD259)</f>
        <v>4316770</v>
      </c>
    </row>
    <row r="260" spans="1:65" s="4" customFormat="1">
      <c r="A260" s="4">
        <v>52</v>
      </c>
      <c r="B260" s="35" t="s">
        <v>316</v>
      </c>
      <c r="C260" s="35"/>
      <c r="D260" s="35" t="s">
        <v>13</v>
      </c>
      <c r="E260" s="35"/>
      <c r="F260" s="35">
        <v>0</v>
      </c>
      <c r="G260" s="35"/>
      <c r="H260" s="35">
        <v>505365</v>
      </c>
      <c r="I260" s="35"/>
      <c r="J260" s="35">
        <v>0</v>
      </c>
      <c r="K260" s="35"/>
      <c r="L260" s="35">
        <v>11395</v>
      </c>
      <c r="M260" s="35"/>
      <c r="N260" s="35">
        <v>0</v>
      </c>
      <c r="O260" s="35"/>
      <c r="P260" s="35">
        <v>0</v>
      </c>
      <c r="Q260" s="35"/>
      <c r="R260" s="35">
        <v>11474</v>
      </c>
      <c r="S260" s="35"/>
      <c r="T260" s="35">
        <v>6136</v>
      </c>
      <c r="U260" s="35"/>
      <c r="V260" s="35">
        <v>1867</v>
      </c>
      <c r="W260" s="35"/>
      <c r="X260" s="35">
        <v>0</v>
      </c>
      <c r="Y260" s="35"/>
      <c r="Z260" s="35">
        <v>0</v>
      </c>
      <c r="AA260" s="35"/>
      <c r="AB260" s="35">
        <v>0</v>
      </c>
      <c r="AC260" s="35"/>
      <c r="AD260" s="35">
        <v>0</v>
      </c>
      <c r="AE260" s="35"/>
      <c r="AF260" s="35">
        <v>0</v>
      </c>
      <c r="AG260" s="35"/>
      <c r="AH260" s="4">
        <f>SUM(F260:AF260)</f>
        <v>536237</v>
      </c>
    </row>
    <row r="261" spans="1:65" s="4" customFormat="1">
      <c r="A261" s="4">
        <v>93</v>
      </c>
      <c r="B261" s="38" t="s">
        <v>344</v>
      </c>
      <c r="C261" s="38"/>
      <c r="D261" s="38" t="s">
        <v>44</v>
      </c>
      <c r="E261" s="38"/>
      <c r="F261" s="35">
        <v>0</v>
      </c>
      <c r="G261" s="35"/>
      <c r="H261" s="35">
        <v>523704</v>
      </c>
      <c r="I261" s="35"/>
      <c r="J261" s="35">
        <v>0</v>
      </c>
      <c r="K261" s="35"/>
      <c r="L261" s="35">
        <v>10616</v>
      </c>
      <c r="M261" s="35"/>
      <c r="N261" s="35">
        <v>0</v>
      </c>
      <c r="O261" s="35"/>
      <c r="P261" s="35">
        <v>732</v>
      </c>
      <c r="Q261" s="35"/>
      <c r="R261" s="35">
        <v>2701</v>
      </c>
      <c r="S261" s="35"/>
      <c r="T261" s="35">
        <v>10</v>
      </c>
      <c r="U261" s="35"/>
      <c r="V261" s="35">
        <v>2389</v>
      </c>
      <c r="W261" s="35"/>
      <c r="X261" s="35">
        <v>0</v>
      </c>
      <c r="Y261" s="35"/>
      <c r="Z261" s="35">
        <v>0</v>
      </c>
      <c r="AA261" s="35"/>
      <c r="AB261" s="35">
        <v>0</v>
      </c>
      <c r="AC261" s="35"/>
      <c r="AD261" s="35">
        <v>0</v>
      </c>
      <c r="AE261" s="35"/>
      <c r="AF261" s="35">
        <v>0</v>
      </c>
      <c r="AG261" s="35"/>
      <c r="AH261" s="4">
        <f>SUM(F261:AF261)</f>
        <v>540152</v>
      </c>
    </row>
    <row r="262" spans="1:65" s="4" customFormat="1">
      <c r="A262" s="4">
        <v>5</v>
      </c>
      <c r="B262" s="4" t="s">
        <v>594</v>
      </c>
      <c r="D262" s="4" t="s">
        <v>25</v>
      </c>
      <c r="F262" s="4">
        <v>4055760</v>
      </c>
      <c r="H262" s="4">
        <v>8176786</v>
      </c>
      <c r="J262" s="4">
        <v>905047</v>
      </c>
      <c r="L262" s="4">
        <v>245826</v>
      </c>
      <c r="N262" s="35">
        <v>0</v>
      </c>
      <c r="P262" s="4">
        <v>82850</v>
      </c>
      <c r="R262" s="4">
        <v>13520</v>
      </c>
      <c r="T262" s="4">
        <v>44215</v>
      </c>
      <c r="V262" s="4">
        <v>57732</v>
      </c>
      <c r="X262" s="4">
        <v>0</v>
      </c>
      <c r="Z262" s="4">
        <v>0</v>
      </c>
      <c r="AB262" s="4">
        <v>0</v>
      </c>
      <c r="AD262" s="4">
        <v>0</v>
      </c>
      <c r="AF262" s="4">
        <v>0</v>
      </c>
      <c r="AH262" s="4">
        <f>SUM(F262:AD262)</f>
        <v>13581736</v>
      </c>
    </row>
    <row r="263" spans="1:65" s="4" customFormat="1" ht="12" customHeight="1">
      <c r="A263" s="4">
        <v>70</v>
      </c>
      <c r="B263" s="4" t="s">
        <v>256</v>
      </c>
      <c r="D263" s="4" t="s">
        <v>257</v>
      </c>
      <c r="F263" s="35">
        <v>0</v>
      </c>
      <c r="H263" s="4">
        <v>2909763</v>
      </c>
      <c r="J263" s="35">
        <v>0</v>
      </c>
      <c r="L263" s="4">
        <v>70611</v>
      </c>
      <c r="N263" s="35">
        <v>0</v>
      </c>
      <c r="P263" s="35">
        <v>0</v>
      </c>
      <c r="R263" s="4">
        <v>4526</v>
      </c>
      <c r="T263" s="4">
        <v>109140</v>
      </c>
      <c r="V263" s="4">
        <v>44342</v>
      </c>
      <c r="X263" s="35">
        <v>0</v>
      </c>
      <c r="Z263" s="35">
        <v>0</v>
      </c>
      <c r="AB263" s="35">
        <v>0</v>
      </c>
      <c r="AD263" s="35">
        <v>0</v>
      </c>
      <c r="AF263" s="35">
        <v>0</v>
      </c>
      <c r="AH263" s="4">
        <f>SUM(F263:AD263)</f>
        <v>3138382</v>
      </c>
    </row>
    <row r="264" spans="1:65" s="4" customFormat="1">
      <c r="A264" s="4">
        <v>134</v>
      </c>
      <c r="B264" s="4" t="s">
        <v>258</v>
      </c>
      <c r="D264" s="4" t="s">
        <v>22</v>
      </c>
      <c r="F264" s="4">
        <v>798059</v>
      </c>
      <c r="H264" s="4">
        <v>0</v>
      </c>
      <c r="J264" s="4">
        <v>1440659</v>
      </c>
      <c r="L264" s="4">
        <v>74600</v>
      </c>
      <c r="N264" s="35">
        <v>0</v>
      </c>
      <c r="P264" s="4">
        <v>0</v>
      </c>
      <c r="R264" s="4">
        <v>6763</v>
      </c>
      <c r="T264" s="4">
        <v>21700</v>
      </c>
      <c r="V264" s="4">
        <v>8979</v>
      </c>
      <c r="X264" s="4">
        <v>0</v>
      </c>
      <c r="Z264" s="4">
        <v>0</v>
      </c>
      <c r="AB264" s="4">
        <v>0</v>
      </c>
      <c r="AD264" s="4">
        <v>0</v>
      </c>
      <c r="AF264" s="4">
        <v>0</v>
      </c>
      <c r="AH264" s="4">
        <f>SUM(F264:AD264)</f>
        <v>2350760</v>
      </c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</row>
    <row r="265" spans="1:65" s="4" customFormat="1">
      <c r="A265" s="4">
        <v>142</v>
      </c>
      <c r="B265" s="35" t="s">
        <v>259</v>
      </c>
      <c r="C265" s="35"/>
      <c r="D265" s="35" t="s">
        <v>42</v>
      </c>
      <c r="E265" s="35"/>
      <c r="F265" s="35">
        <v>0</v>
      </c>
      <c r="G265" s="35"/>
      <c r="H265" s="35">
        <v>340287</v>
      </c>
      <c r="I265" s="35"/>
      <c r="J265" s="35">
        <v>0</v>
      </c>
      <c r="K265" s="35"/>
      <c r="L265" s="35">
        <v>13907</v>
      </c>
      <c r="M265" s="35"/>
      <c r="N265" s="35">
        <v>0</v>
      </c>
      <c r="O265" s="35"/>
      <c r="P265" s="35">
        <v>0</v>
      </c>
      <c r="Q265" s="35"/>
      <c r="R265" s="35">
        <v>10954</v>
      </c>
      <c r="S265" s="35"/>
      <c r="T265" s="35">
        <v>2916</v>
      </c>
      <c r="U265" s="35"/>
      <c r="V265" s="35">
        <v>68306</v>
      </c>
      <c r="W265" s="35"/>
      <c r="X265" s="35">
        <v>0</v>
      </c>
      <c r="Y265" s="35"/>
      <c r="Z265" s="35">
        <v>0</v>
      </c>
      <c r="AA265" s="35"/>
      <c r="AB265" s="35">
        <v>0</v>
      </c>
      <c r="AC265" s="35"/>
      <c r="AD265" s="35">
        <v>0</v>
      </c>
      <c r="AE265" s="35"/>
      <c r="AF265" s="35">
        <v>0</v>
      </c>
      <c r="AG265" s="35"/>
      <c r="AH265" s="4">
        <f>SUM(F265:AF265)</f>
        <v>436370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</row>
    <row r="266" spans="1:65" s="4" customFormat="1">
      <c r="A266" s="4">
        <v>79</v>
      </c>
      <c r="B266" s="4" t="s">
        <v>317</v>
      </c>
      <c r="D266" s="4" t="s">
        <v>170</v>
      </c>
      <c r="F266" s="35">
        <v>0</v>
      </c>
      <c r="H266" s="35">
        <v>435254</v>
      </c>
      <c r="J266" s="35">
        <v>0</v>
      </c>
      <c r="L266" s="35">
        <v>12552</v>
      </c>
      <c r="N266" s="35">
        <v>0</v>
      </c>
      <c r="P266" s="35">
        <v>0</v>
      </c>
      <c r="R266" s="35">
        <v>3497</v>
      </c>
      <c r="T266" s="35">
        <v>57610</v>
      </c>
      <c r="V266" s="35">
        <v>6458</v>
      </c>
      <c r="X266" s="35">
        <v>0</v>
      </c>
      <c r="Z266" s="35">
        <v>0</v>
      </c>
      <c r="AB266" s="35">
        <v>0</v>
      </c>
      <c r="AD266" s="35">
        <v>0</v>
      </c>
      <c r="AF266" s="35">
        <v>0</v>
      </c>
      <c r="AH266" s="4">
        <f>SUM(F266:AF266)</f>
        <v>515371</v>
      </c>
    </row>
    <row r="267" spans="1:65" s="4" customFormat="1">
      <c r="A267" s="4">
        <v>56</v>
      </c>
      <c r="B267" s="4" t="s">
        <v>261</v>
      </c>
      <c r="D267" s="4" t="s">
        <v>22</v>
      </c>
      <c r="F267" s="4">
        <v>1033244</v>
      </c>
      <c r="H267" s="4">
        <v>1606632</v>
      </c>
      <c r="J267" s="35">
        <v>0</v>
      </c>
      <c r="L267" s="4">
        <v>18105</v>
      </c>
      <c r="N267" s="35">
        <v>0</v>
      </c>
      <c r="P267" s="35">
        <v>0</v>
      </c>
      <c r="R267" s="35">
        <v>0</v>
      </c>
      <c r="T267" s="4">
        <v>7311</v>
      </c>
      <c r="V267" s="4">
        <v>8499</v>
      </c>
      <c r="X267" s="35">
        <v>0</v>
      </c>
      <c r="Z267" s="35">
        <v>0</v>
      </c>
      <c r="AB267" s="35">
        <v>0</v>
      </c>
      <c r="AD267" s="35">
        <v>0</v>
      </c>
      <c r="AF267" s="35">
        <v>0</v>
      </c>
      <c r="AH267" s="4">
        <f>SUM(F267:AD267)</f>
        <v>2673791</v>
      </c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</row>
    <row r="268" spans="1:65" s="4" customFormat="1">
      <c r="A268" s="4">
        <v>130</v>
      </c>
      <c r="B268" s="4" t="s">
        <v>581</v>
      </c>
      <c r="D268" s="4" t="s">
        <v>582</v>
      </c>
      <c r="F268" s="35">
        <v>0</v>
      </c>
      <c r="H268" s="35">
        <v>0</v>
      </c>
      <c r="J268" s="4">
        <v>47452019</v>
      </c>
      <c r="L268" s="4">
        <v>2003232</v>
      </c>
      <c r="N268" s="35">
        <v>0</v>
      </c>
      <c r="P268" s="35">
        <v>0</v>
      </c>
      <c r="R268" s="4">
        <v>25000</v>
      </c>
      <c r="T268" s="4">
        <v>506210</v>
      </c>
      <c r="V268" s="4">
        <v>808599</v>
      </c>
      <c r="X268" s="35">
        <v>0</v>
      </c>
      <c r="Z268" s="35">
        <v>0</v>
      </c>
      <c r="AB268" s="35">
        <v>0</v>
      </c>
      <c r="AD268" s="35">
        <v>0</v>
      </c>
      <c r="AF268" s="35">
        <v>0</v>
      </c>
      <c r="AH268" s="4">
        <f>SUM(F268:AF268)</f>
        <v>50795060</v>
      </c>
    </row>
    <row r="269" spans="1:65" s="4" customFormat="1">
      <c r="A269" s="4">
        <v>55</v>
      </c>
      <c r="B269" s="4" t="s">
        <v>578</v>
      </c>
      <c r="D269" s="4" t="s">
        <v>67</v>
      </c>
      <c r="F269" s="35">
        <v>0</v>
      </c>
      <c r="H269" s="4">
        <v>349271</v>
      </c>
      <c r="J269" s="35">
        <v>0</v>
      </c>
      <c r="L269" s="35">
        <v>0</v>
      </c>
      <c r="N269" s="35">
        <v>0</v>
      </c>
      <c r="P269" s="35">
        <v>0</v>
      </c>
      <c r="R269" s="35">
        <v>0</v>
      </c>
      <c r="T269" s="35">
        <v>0</v>
      </c>
      <c r="V269" s="35">
        <v>0</v>
      </c>
      <c r="X269" s="35">
        <v>0</v>
      </c>
      <c r="Z269" s="35">
        <v>0</v>
      </c>
      <c r="AB269" s="35">
        <v>0</v>
      </c>
      <c r="AD269" s="35">
        <v>0</v>
      </c>
      <c r="AF269" s="35">
        <v>0</v>
      </c>
      <c r="AH269" s="4">
        <f>SUM(F269:AD269)</f>
        <v>349271</v>
      </c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</row>
    <row r="270" spans="1:65" s="4" customFormat="1">
      <c r="A270" s="4">
        <v>145</v>
      </c>
      <c r="B270" s="4" t="s">
        <v>262</v>
      </c>
      <c r="D270" s="4" t="s">
        <v>45</v>
      </c>
      <c r="F270" s="35">
        <v>0</v>
      </c>
      <c r="H270" s="35">
        <v>1145567</v>
      </c>
      <c r="J270" s="35">
        <v>0</v>
      </c>
      <c r="L270" s="35">
        <v>44265</v>
      </c>
      <c r="N270" s="35">
        <v>0</v>
      </c>
      <c r="P270" s="35">
        <v>0</v>
      </c>
      <c r="R270" s="35">
        <v>68082</v>
      </c>
      <c r="T270" s="35">
        <v>84376</v>
      </c>
      <c r="V270" s="35">
        <v>5709</v>
      </c>
      <c r="X270" s="35">
        <v>0</v>
      </c>
      <c r="Z270" s="35">
        <v>0</v>
      </c>
      <c r="AB270" s="35">
        <v>0</v>
      </c>
      <c r="AD270" s="35">
        <v>0</v>
      </c>
      <c r="AF270" s="35">
        <v>0</v>
      </c>
      <c r="AH270" s="4">
        <f>SUM(F270:AF270)</f>
        <v>1347999</v>
      </c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</row>
    <row r="271" spans="1:65" s="4" customFormat="1">
      <c r="A271" s="4">
        <v>54</v>
      </c>
      <c r="B271" s="4" t="s">
        <v>448</v>
      </c>
      <c r="D271" s="4" t="s">
        <v>53</v>
      </c>
      <c r="F271" s="4">
        <v>0</v>
      </c>
      <c r="H271" s="4">
        <v>0</v>
      </c>
      <c r="J271" s="4">
        <v>570791</v>
      </c>
      <c r="L271" s="4">
        <v>16156</v>
      </c>
      <c r="N271" s="4">
        <v>0</v>
      </c>
      <c r="P271" s="4">
        <v>0</v>
      </c>
      <c r="R271" s="4">
        <v>7860</v>
      </c>
      <c r="T271" s="4">
        <v>17296</v>
      </c>
      <c r="V271" s="4">
        <v>10441</v>
      </c>
      <c r="X271" s="4">
        <v>0</v>
      </c>
      <c r="Z271" s="4">
        <v>0</v>
      </c>
      <c r="AB271" s="4">
        <v>0</v>
      </c>
      <c r="AD271" s="4">
        <v>0</v>
      </c>
      <c r="AF271" s="4">
        <v>0</v>
      </c>
      <c r="AH271" s="4">
        <f>SUM(F271:AD271)</f>
        <v>622544</v>
      </c>
    </row>
    <row r="272" spans="1:65" s="4" customFormat="1">
      <c r="A272" s="4">
        <v>32</v>
      </c>
      <c r="B272" s="4" t="s">
        <v>610</v>
      </c>
      <c r="D272" s="4" t="s">
        <v>318</v>
      </c>
      <c r="F272" s="4">
        <v>15679745</v>
      </c>
      <c r="H272" s="4">
        <v>0</v>
      </c>
      <c r="J272" s="4">
        <v>21612536</v>
      </c>
      <c r="L272" s="4">
        <v>823228</v>
      </c>
      <c r="N272" s="4">
        <v>0</v>
      </c>
      <c r="P272" s="4">
        <v>86962</v>
      </c>
      <c r="R272" s="4">
        <v>11951</v>
      </c>
      <c r="T272" s="4">
        <v>142081</v>
      </c>
      <c r="V272" s="4">
        <v>147632</v>
      </c>
      <c r="X272" s="4">
        <v>0</v>
      </c>
      <c r="Z272" s="4">
        <v>0</v>
      </c>
      <c r="AB272" s="4">
        <v>0</v>
      </c>
      <c r="AD272" s="4">
        <v>0</v>
      </c>
      <c r="AF272" s="4">
        <v>0</v>
      </c>
      <c r="AH272" s="4">
        <f>SUM(F272:AD272)</f>
        <v>38504135</v>
      </c>
    </row>
    <row r="273" spans="1:65" s="4" customFormat="1">
      <c r="A273" s="4">
        <v>57</v>
      </c>
      <c r="B273" s="4" t="s">
        <v>611</v>
      </c>
      <c r="D273" s="4" t="s">
        <v>53</v>
      </c>
      <c r="F273" s="35">
        <v>0</v>
      </c>
      <c r="H273" s="4">
        <v>1517006</v>
      </c>
      <c r="J273" s="35">
        <v>0</v>
      </c>
      <c r="L273" s="4">
        <v>48673</v>
      </c>
      <c r="N273" s="4">
        <v>0</v>
      </c>
      <c r="P273" s="35">
        <v>0</v>
      </c>
      <c r="R273" s="4">
        <v>34276</v>
      </c>
      <c r="T273" s="4">
        <v>39739</v>
      </c>
      <c r="V273" s="4">
        <v>3960</v>
      </c>
      <c r="X273" s="4">
        <v>0</v>
      </c>
      <c r="Z273" s="4">
        <v>0</v>
      </c>
      <c r="AB273" s="4">
        <v>0</v>
      </c>
      <c r="AD273" s="4">
        <v>0</v>
      </c>
      <c r="AF273" s="4">
        <v>0</v>
      </c>
      <c r="AH273" s="4">
        <f>SUM(F273:AD273)</f>
        <v>1643654</v>
      </c>
    </row>
    <row r="274" spans="1:65" s="4" customFormat="1">
      <c r="A274" s="4">
        <v>53</v>
      </c>
      <c r="B274" s="4" t="s">
        <v>612</v>
      </c>
      <c r="D274" s="4" t="s">
        <v>26</v>
      </c>
      <c r="F274" s="4">
        <v>210555</v>
      </c>
      <c r="H274" s="4">
        <v>0</v>
      </c>
      <c r="J274" s="4">
        <v>1592954</v>
      </c>
      <c r="L274" s="4">
        <v>53845</v>
      </c>
      <c r="N274" s="35">
        <v>0</v>
      </c>
      <c r="P274" s="4">
        <v>0</v>
      </c>
      <c r="R274" s="4">
        <v>9190</v>
      </c>
      <c r="T274" s="4">
        <v>20822</v>
      </c>
      <c r="V274" s="4">
        <v>2010</v>
      </c>
      <c r="X274" s="4">
        <v>0</v>
      </c>
      <c r="Z274" s="4">
        <v>0</v>
      </c>
      <c r="AB274" s="4">
        <v>0</v>
      </c>
      <c r="AD274" s="4">
        <v>0</v>
      </c>
      <c r="AF274" s="4">
        <v>0</v>
      </c>
      <c r="AH274" s="4">
        <f>SUM(F274:AD274)</f>
        <v>1889376</v>
      </c>
    </row>
    <row r="275" spans="1:65" s="4" customFormat="1">
      <c r="A275" s="4">
        <v>78</v>
      </c>
      <c r="B275" s="4" t="s">
        <v>319</v>
      </c>
      <c r="D275" s="4" t="s">
        <v>22</v>
      </c>
      <c r="F275" s="4">
        <v>682013</v>
      </c>
      <c r="H275" s="4">
        <v>0</v>
      </c>
      <c r="J275" s="4">
        <v>1580053</v>
      </c>
      <c r="L275" s="4">
        <v>57466</v>
      </c>
      <c r="N275" s="35">
        <v>0</v>
      </c>
      <c r="P275" s="4">
        <v>0</v>
      </c>
      <c r="R275" s="4">
        <v>18285</v>
      </c>
      <c r="T275" s="4">
        <v>10220</v>
      </c>
      <c r="V275" s="4">
        <v>3940</v>
      </c>
      <c r="X275" s="4">
        <v>0</v>
      </c>
      <c r="Z275" s="4">
        <v>0</v>
      </c>
      <c r="AB275" s="4">
        <v>0</v>
      </c>
      <c r="AD275" s="4">
        <v>0</v>
      </c>
      <c r="AF275" s="4">
        <v>0</v>
      </c>
      <c r="AH275" s="4">
        <f>SUM(F275:AD275)</f>
        <v>2351977</v>
      </c>
    </row>
    <row r="276" spans="1:65" s="7" customFormat="1">
      <c r="A276" s="4">
        <v>247</v>
      </c>
      <c r="B276" s="4" t="s">
        <v>266</v>
      </c>
      <c r="C276" s="4"/>
      <c r="D276" s="4" t="s">
        <v>47</v>
      </c>
      <c r="E276" s="4"/>
      <c r="F276" s="35">
        <v>0</v>
      </c>
      <c r="G276" s="4"/>
      <c r="H276" s="4">
        <v>523050</v>
      </c>
      <c r="I276" s="4"/>
      <c r="J276" s="35">
        <v>0</v>
      </c>
      <c r="K276" s="4"/>
      <c r="L276" s="4">
        <v>12452</v>
      </c>
      <c r="M276" s="4"/>
      <c r="N276" s="35">
        <v>0</v>
      </c>
      <c r="O276" s="4"/>
      <c r="P276" s="35">
        <v>0</v>
      </c>
      <c r="Q276" s="4"/>
      <c r="R276" s="4">
        <v>3029</v>
      </c>
      <c r="S276" s="4"/>
      <c r="T276" s="4">
        <v>559</v>
      </c>
      <c r="U276" s="4"/>
      <c r="V276" s="4">
        <v>21</v>
      </c>
      <c r="W276" s="4"/>
      <c r="X276" s="35">
        <v>0</v>
      </c>
      <c r="Y276" s="4"/>
      <c r="Z276" s="35">
        <v>0</v>
      </c>
      <c r="AA276" s="4"/>
      <c r="AB276" s="35">
        <v>0</v>
      </c>
      <c r="AC276" s="4"/>
      <c r="AD276" s="35">
        <v>0</v>
      </c>
      <c r="AE276" s="4"/>
      <c r="AF276" s="35">
        <v>0</v>
      </c>
      <c r="AG276" s="4"/>
      <c r="AH276" s="4">
        <f>SUM(F276:AD276)</f>
        <v>539111</v>
      </c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</row>
    <row r="277" spans="1:65" s="4" customFormat="1">
      <c r="A277" s="4">
        <v>26</v>
      </c>
      <c r="B277" s="4" t="s">
        <v>268</v>
      </c>
      <c r="D277" s="4" t="s">
        <v>63</v>
      </c>
      <c r="F277" s="35">
        <v>0</v>
      </c>
      <c r="H277" s="35">
        <v>317454</v>
      </c>
      <c r="J277" s="35">
        <v>0</v>
      </c>
      <c r="L277" s="35">
        <v>14830</v>
      </c>
      <c r="N277" s="35">
        <v>0</v>
      </c>
      <c r="P277" s="35">
        <v>0</v>
      </c>
      <c r="R277" s="35">
        <v>8659</v>
      </c>
      <c r="T277" s="35">
        <v>8665</v>
      </c>
      <c r="V277" s="35">
        <v>2501</v>
      </c>
      <c r="X277" s="35">
        <v>0</v>
      </c>
      <c r="Z277" s="35">
        <v>0</v>
      </c>
      <c r="AB277" s="35">
        <v>0</v>
      </c>
      <c r="AD277" s="35">
        <v>0</v>
      </c>
      <c r="AF277" s="35">
        <v>0</v>
      </c>
      <c r="AH277" s="4">
        <f>SUM(F277:AF277)</f>
        <v>352109</v>
      </c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</row>
    <row r="278" spans="1:65" s="4" customFormat="1">
      <c r="A278" s="4">
        <v>25</v>
      </c>
      <c r="B278" s="4" t="s">
        <v>613</v>
      </c>
      <c r="D278" s="4" t="s">
        <v>56</v>
      </c>
      <c r="F278" s="4">
        <v>1873219</v>
      </c>
      <c r="H278" s="4">
        <v>4267276</v>
      </c>
      <c r="J278" s="4">
        <v>261172</v>
      </c>
      <c r="L278" s="4">
        <v>126239</v>
      </c>
      <c r="N278" s="35">
        <v>0</v>
      </c>
      <c r="P278" s="4">
        <v>560</v>
      </c>
      <c r="R278" s="4">
        <v>3700</v>
      </c>
      <c r="T278" s="4">
        <v>54545</v>
      </c>
      <c r="V278" s="4">
        <v>26070</v>
      </c>
      <c r="X278" s="35">
        <v>0</v>
      </c>
      <c r="Z278" s="4">
        <v>436239</v>
      </c>
      <c r="AB278" s="35">
        <v>0</v>
      </c>
      <c r="AD278" s="35">
        <v>0</v>
      </c>
      <c r="AF278" s="35">
        <v>0</v>
      </c>
      <c r="AH278" s="4">
        <f>SUM(F278:AD278)</f>
        <v>7049020</v>
      </c>
    </row>
    <row r="279" spans="1:65" s="4" customFormat="1">
      <c r="A279" s="4">
        <v>90</v>
      </c>
      <c r="B279" s="4" t="s">
        <v>614</v>
      </c>
      <c r="D279" s="4" t="s">
        <v>27</v>
      </c>
      <c r="F279" s="4">
        <v>0</v>
      </c>
      <c r="H279" s="4">
        <v>0</v>
      </c>
      <c r="J279" s="4">
        <v>2331355</v>
      </c>
      <c r="L279" s="4">
        <v>0</v>
      </c>
      <c r="N279" s="4">
        <v>0</v>
      </c>
      <c r="P279" s="4">
        <v>80153</v>
      </c>
      <c r="R279" s="4">
        <v>6220</v>
      </c>
      <c r="T279" s="4">
        <v>44196</v>
      </c>
      <c r="V279" s="4">
        <v>1998</v>
      </c>
      <c r="X279" s="4">
        <v>0</v>
      </c>
      <c r="Z279" s="35">
        <v>0</v>
      </c>
      <c r="AB279" s="4">
        <v>0</v>
      </c>
      <c r="AD279" s="4">
        <v>791</v>
      </c>
      <c r="AF279" s="4">
        <v>0</v>
      </c>
      <c r="AH279" s="4">
        <f>SUM(F279:AD279)</f>
        <v>2464713</v>
      </c>
    </row>
    <row r="280" spans="1:65" s="4" customFormat="1">
      <c r="A280" s="4">
        <v>230</v>
      </c>
      <c r="B280" s="4" t="s">
        <v>269</v>
      </c>
      <c r="D280" s="4" t="s">
        <v>55</v>
      </c>
      <c r="F280" s="4">
        <v>3415602</v>
      </c>
      <c r="H280" s="4">
        <v>2593314</v>
      </c>
      <c r="J280" s="4">
        <v>494487</v>
      </c>
      <c r="L280" s="4">
        <v>251381</v>
      </c>
      <c r="N280" s="35">
        <v>0</v>
      </c>
      <c r="P280" s="35">
        <v>0</v>
      </c>
      <c r="R280" s="4">
        <v>922</v>
      </c>
      <c r="T280" s="4">
        <v>582783</v>
      </c>
      <c r="V280" s="4">
        <f>13199+10430</f>
        <v>23629</v>
      </c>
      <c r="X280" s="35">
        <v>0</v>
      </c>
      <c r="Z280" s="35">
        <v>0</v>
      </c>
      <c r="AB280" s="35">
        <v>0</v>
      </c>
      <c r="AD280" s="35">
        <v>0</v>
      </c>
      <c r="AF280" s="35">
        <v>0</v>
      </c>
      <c r="AH280" s="4">
        <f>SUM(F280:AD280)</f>
        <v>7362118</v>
      </c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</row>
    <row r="281" spans="1:65" s="4" customFormat="1">
      <c r="A281" s="4">
        <v>171</v>
      </c>
      <c r="B281" s="4" t="s">
        <v>38</v>
      </c>
      <c r="D281" s="4" t="s">
        <v>42</v>
      </c>
      <c r="F281" s="35">
        <v>26178</v>
      </c>
      <c r="H281" s="35">
        <v>374560</v>
      </c>
      <c r="J281" s="35">
        <v>4520</v>
      </c>
      <c r="L281" s="35">
        <v>12882</v>
      </c>
      <c r="N281" s="35">
        <v>0</v>
      </c>
      <c r="P281" s="35">
        <v>0</v>
      </c>
      <c r="R281" s="35">
        <v>5370</v>
      </c>
      <c r="T281" s="35">
        <v>13614</v>
      </c>
      <c r="V281" s="35">
        <v>495</v>
      </c>
      <c r="X281" s="35">
        <v>0</v>
      </c>
      <c r="Z281" s="35">
        <v>0</v>
      </c>
      <c r="AB281" s="35">
        <v>0</v>
      </c>
      <c r="AD281" s="35">
        <v>0</v>
      </c>
      <c r="AF281" s="35">
        <v>0</v>
      </c>
      <c r="AH281" s="4">
        <f>SUM(F281:AF281)</f>
        <v>437619</v>
      </c>
    </row>
    <row r="282" spans="1:65" s="4" customFormat="1">
      <c r="A282" s="4">
        <v>49</v>
      </c>
      <c r="B282" s="4" t="s">
        <v>615</v>
      </c>
      <c r="D282" s="4" t="s">
        <v>225</v>
      </c>
      <c r="F282" s="35">
        <v>1382684</v>
      </c>
      <c r="H282" s="35">
        <v>0</v>
      </c>
      <c r="J282" s="35">
        <v>3790672</v>
      </c>
      <c r="L282" s="35">
        <v>184073</v>
      </c>
      <c r="N282" s="35">
        <v>0</v>
      </c>
      <c r="P282" s="35">
        <v>0</v>
      </c>
      <c r="R282" s="35">
        <v>0</v>
      </c>
      <c r="T282" s="35">
        <f>10412+41355</f>
        <v>51767</v>
      </c>
      <c r="V282" s="35">
        <v>121304</v>
      </c>
      <c r="X282" s="35">
        <v>0</v>
      </c>
      <c r="Z282" s="35">
        <v>0</v>
      </c>
      <c r="AB282" s="35">
        <v>0</v>
      </c>
      <c r="AD282" s="35">
        <v>0</v>
      </c>
      <c r="AF282" s="35">
        <v>0</v>
      </c>
      <c r="AH282" s="4">
        <f>SUM(F282:AD282)</f>
        <v>5530500</v>
      </c>
    </row>
    <row r="283" spans="1:65" s="4" customFormat="1">
      <c r="A283" s="4">
        <v>34</v>
      </c>
      <c r="B283" s="4" t="s">
        <v>271</v>
      </c>
      <c r="D283" s="4" t="s">
        <v>65</v>
      </c>
      <c r="F283" s="35">
        <v>0</v>
      </c>
      <c r="H283" s="35">
        <v>323468</v>
      </c>
      <c r="J283" s="35">
        <v>0</v>
      </c>
      <c r="L283" s="35">
        <v>6626</v>
      </c>
      <c r="N283" s="35">
        <v>0</v>
      </c>
      <c r="P283" s="35">
        <v>0</v>
      </c>
      <c r="R283" s="35">
        <v>1225</v>
      </c>
      <c r="T283" s="35">
        <v>9269</v>
      </c>
      <c r="V283" s="35">
        <v>1957</v>
      </c>
      <c r="X283" s="35">
        <v>0</v>
      </c>
      <c r="Z283" s="35">
        <v>0</v>
      </c>
      <c r="AB283" s="35">
        <v>0</v>
      </c>
      <c r="AD283" s="35">
        <v>0</v>
      </c>
      <c r="AF283" s="35">
        <v>0</v>
      </c>
      <c r="AH283" s="4">
        <f>SUM(F283:AF283)</f>
        <v>342545</v>
      </c>
    </row>
    <row r="284" spans="1:65" s="4" customFormat="1">
      <c r="A284" s="4">
        <v>197</v>
      </c>
      <c r="B284" s="4" t="s">
        <v>272</v>
      </c>
      <c r="D284" s="4" t="s">
        <v>65</v>
      </c>
      <c r="F284" s="35">
        <v>475133</v>
      </c>
      <c r="H284" s="35">
        <v>1103765</v>
      </c>
      <c r="J284" s="35">
        <v>54321</v>
      </c>
      <c r="L284" s="35">
        <v>61413</v>
      </c>
      <c r="N284" s="35">
        <v>0</v>
      </c>
      <c r="P284" s="35">
        <v>0</v>
      </c>
      <c r="R284" s="35">
        <v>4652</v>
      </c>
      <c r="T284" s="35">
        <v>10426</v>
      </c>
      <c r="V284" s="35">
        <v>37559</v>
      </c>
      <c r="X284" s="35">
        <v>2289</v>
      </c>
      <c r="Z284" s="35">
        <v>0</v>
      </c>
      <c r="AB284" s="35">
        <v>0</v>
      </c>
      <c r="AD284" s="35">
        <v>0</v>
      </c>
      <c r="AF284" s="35">
        <v>0</v>
      </c>
      <c r="AH284" s="4">
        <f>SUM(F284:AF284)</f>
        <v>1749558</v>
      </c>
    </row>
    <row r="285" spans="1:65" s="4" customFormat="1">
      <c r="A285" s="4">
        <v>156</v>
      </c>
      <c r="B285" s="35" t="s">
        <v>273</v>
      </c>
      <c r="C285" s="35"/>
      <c r="D285" s="35" t="s">
        <v>51</v>
      </c>
      <c r="E285" s="35"/>
      <c r="F285" s="35">
        <v>0</v>
      </c>
      <c r="G285" s="35"/>
      <c r="H285" s="35">
        <v>421397</v>
      </c>
      <c r="I285" s="35"/>
      <c r="J285" s="35">
        <v>0</v>
      </c>
      <c r="K285" s="35"/>
      <c r="L285" s="35">
        <v>5344</v>
      </c>
      <c r="M285" s="35"/>
      <c r="N285" s="35">
        <v>0</v>
      </c>
      <c r="O285" s="35"/>
      <c r="P285" s="35">
        <v>0</v>
      </c>
      <c r="Q285" s="35"/>
      <c r="R285" s="35">
        <v>6449</v>
      </c>
      <c r="S285" s="35"/>
      <c r="T285" s="35">
        <v>51763</v>
      </c>
      <c r="U285" s="35"/>
      <c r="V285" s="35">
        <v>126</v>
      </c>
      <c r="W285" s="35"/>
      <c r="X285" s="35">
        <v>0</v>
      </c>
      <c r="Y285" s="35"/>
      <c r="Z285" s="35">
        <v>0</v>
      </c>
      <c r="AA285" s="35"/>
      <c r="AB285" s="35">
        <v>0</v>
      </c>
      <c r="AC285" s="35"/>
      <c r="AD285" s="35">
        <v>0</v>
      </c>
      <c r="AE285" s="35"/>
      <c r="AF285" s="35">
        <v>0</v>
      </c>
      <c r="AG285" s="35"/>
      <c r="AH285" s="4">
        <f>SUM(F285:AF285)</f>
        <v>485079</v>
      </c>
    </row>
    <row r="286" spans="1:65" s="4" customFormat="1">
      <c r="A286" s="4">
        <v>91</v>
      </c>
      <c r="B286" s="4" t="s">
        <v>577</v>
      </c>
      <c r="D286" s="4" t="s">
        <v>92</v>
      </c>
      <c r="F286" s="4">
        <v>1976420</v>
      </c>
      <c r="H286" s="4">
        <v>3157579</v>
      </c>
      <c r="J286" s="35">
        <v>0</v>
      </c>
      <c r="L286" s="4">
        <v>218253</v>
      </c>
      <c r="N286" s="35">
        <v>0</v>
      </c>
      <c r="P286" s="4">
        <v>18000</v>
      </c>
      <c r="R286" s="4">
        <v>31532</v>
      </c>
      <c r="T286" s="4">
        <v>12140</v>
      </c>
      <c r="V286" s="4">
        <v>17213</v>
      </c>
      <c r="X286" s="35">
        <v>0</v>
      </c>
      <c r="Z286" s="4">
        <v>82440</v>
      </c>
      <c r="AB286" s="35">
        <v>0</v>
      </c>
      <c r="AD286" s="35">
        <v>0</v>
      </c>
      <c r="AF286" s="35">
        <v>0</v>
      </c>
      <c r="AH286" s="4">
        <f>SUM(F286:AD286)</f>
        <v>5513577</v>
      </c>
    </row>
    <row r="287" spans="1:65" s="4" customFormat="1">
      <c r="A287" s="4">
        <v>81</v>
      </c>
      <c r="B287" s="4" t="s">
        <v>274</v>
      </c>
      <c r="D287" s="4" t="s">
        <v>65</v>
      </c>
      <c r="F287" s="35">
        <v>0</v>
      </c>
      <c r="H287" s="35">
        <v>388611</v>
      </c>
      <c r="J287" s="35">
        <v>0</v>
      </c>
      <c r="L287" s="35">
        <v>7850</v>
      </c>
      <c r="N287" s="35">
        <v>0</v>
      </c>
      <c r="P287" s="35">
        <v>0</v>
      </c>
      <c r="R287" s="35">
        <v>3077</v>
      </c>
      <c r="T287" s="35">
        <v>15664</v>
      </c>
      <c r="V287" s="35">
        <v>1200</v>
      </c>
      <c r="X287" s="35">
        <v>0</v>
      </c>
      <c r="Z287" s="35">
        <v>0</v>
      </c>
      <c r="AB287" s="35">
        <v>0</v>
      </c>
      <c r="AD287" s="35">
        <v>0</v>
      </c>
      <c r="AF287" s="35">
        <v>0</v>
      </c>
      <c r="AH287" s="4">
        <f>SUM(F287:AF287)</f>
        <v>416402</v>
      </c>
    </row>
    <row r="288" spans="1:65" s="4" customFormat="1">
      <c r="A288" s="4">
        <v>215</v>
      </c>
      <c r="B288" s="35" t="s">
        <v>469</v>
      </c>
      <c r="C288" s="35"/>
      <c r="D288" s="35" t="s">
        <v>15</v>
      </c>
      <c r="E288" s="35"/>
      <c r="F288" s="35">
        <v>839113</v>
      </c>
      <c r="G288" s="35"/>
      <c r="H288" s="35">
        <v>868026</v>
      </c>
      <c r="I288" s="35"/>
      <c r="J288" s="35">
        <v>0</v>
      </c>
      <c r="K288" s="35"/>
      <c r="L288" s="35">
        <v>25713</v>
      </c>
      <c r="M288" s="35"/>
      <c r="N288" s="35">
        <v>0</v>
      </c>
      <c r="O288" s="35"/>
      <c r="P288" s="35">
        <v>0</v>
      </c>
      <c r="Q288" s="35"/>
      <c r="R288" s="35">
        <v>1642</v>
      </c>
      <c r="S288" s="35"/>
      <c r="T288" s="35">
        <v>48214</v>
      </c>
      <c r="U288" s="35"/>
      <c r="V288" s="35">
        <v>17222</v>
      </c>
      <c r="W288" s="35"/>
      <c r="X288" s="35">
        <v>1653</v>
      </c>
      <c r="Y288" s="35"/>
      <c r="Z288" s="35">
        <v>0</v>
      </c>
      <c r="AA288" s="35"/>
      <c r="AB288" s="35">
        <v>0</v>
      </c>
      <c r="AC288" s="35"/>
      <c r="AD288" s="35">
        <v>0</v>
      </c>
      <c r="AE288" s="35"/>
      <c r="AF288" s="35">
        <v>0</v>
      </c>
      <c r="AG288" s="35"/>
      <c r="AH288" s="4">
        <f>SUM(F288:AF288)</f>
        <v>1801583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</row>
    <row r="289" spans="1:65" s="4" customFormat="1">
      <c r="A289" s="4">
        <v>153</v>
      </c>
      <c r="B289" s="4" t="s">
        <v>275</v>
      </c>
      <c r="D289" s="4" t="s">
        <v>89</v>
      </c>
      <c r="F289" s="4">
        <v>3600</v>
      </c>
      <c r="H289" s="4">
        <v>776488</v>
      </c>
      <c r="J289" s="35">
        <v>0</v>
      </c>
      <c r="L289" s="4">
        <v>28798</v>
      </c>
      <c r="N289" s="35">
        <v>0</v>
      </c>
      <c r="P289" s="35">
        <v>0</v>
      </c>
      <c r="R289" s="4">
        <v>8389</v>
      </c>
      <c r="T289" s="4">
        <v>13734</v>
      </c>
      <c r="V289" s="4">
        <v>2980</v>
      </c>
      <c r="X289" s="35">
        <v>0</v>
      </c>
      <c r="Z289" s="35">
        <v>0</v>
      </c>
      <c r="AB289" s="35">
        <v>0</v>
      </c>
      <c r="AD289" s="35">
        <v>0</v>
      </c>
      <c r="AF289" s="35">
        <v>0</v>
      </c>
      <c r="AH289" s="4">
        <f>SUM(F289:AD289)</f>
        <v>833989</v>
      </c>
    </row>
    <row r="290" spans="1:65" s="4" customFormat="1">
      <c r="A290" s="4">
        <v>216</v>
      </c>
      <c r="B290" s="4" t="s">
        <v>616</v>
      </c>
      <c r="D290" s="4" t="s">
        <v>204</v>
      </c>
      <c r="F290" s="4">
        <v>504757</v>
      </c>
      <c r="H290" s="4">
        <v>1176112</v>
      </c>
      <c r="J290" s="4">
        <v>129794</v>
      </c>
      <c r="L290" s="4">
        <v>36246</v>
      </c>
      <c r="N290" s="35">
        <v>0</v>
      </c>
      <c r="P290" s="35">
        <v>0</v>
      </c>
      <c r="R290" s="4">
        <v>79565</v>
      </c>
      <c r="T290" s="4">
        <v>15255</v>
      </c>
      <c r="V290" s="4">
        <v>20918</v>
      </c>
      <c r="X290" s="35">
        <v>0</v>
      </c>
      <c r="Z290" s="35">
        <v>0</v>
      </c>
      <c r="AB290" s="35">
        <v>0</v>
      </c>
      <c r="AD290" s="35">
        <v>0</v>
      </c>
      <c r="AF290" s="35">
        <v>0</v>
      </c>
      <c r="AH290" s="4">
        <f>SUM(F290:AD290)</f>
        <v>1962647</v>
      </c>
    </row>
    <row r="291" spans="1:65" s="4" customFormat="1">
      <c r="A291" s="4">
        <v>169</v>
      </c>
      <c r="B291" s="4" t="s">
        <v>276</v>
      </c>
      <c r="D291" s="4" t="s">
        <v>15</v>
      </c>
      <c r="F291" s="4">
        <v>1711324</v>
      </c>
      <c r="H291" s="4">
        <v>2216778</v>
      </c>
      <c r="J291" s="4">
        <v>444556</v>
      </c>
      <c r="L291" s="4">
        <v>109396</v>
      </c>
      <c r="N291" s="35">
        <v>0</v>
      </c>
      <c r="P291" s="35">
        <v>0</v>
      </c>
      <c r="R291" s="4">
        <v>2055</v>
      </c>
      <c r="T291" s="4">
        <v>63345</v>
      </c>
      <c r="V291" s="4">
        <v>28437</v>
      </c>
      <c r="X291" s="4">
        <v>0</v>
      </c>
      <c r="Z291" s="4">
        <v>0</v>
      </c>
      <c r="AB291" s="4">
        <v>0</v>
      </c>
      <c r="AD291" s="4">
        <v>0</v>
      </c>
      <c r="AF291" s="4">
        <v>0</v>
      </c>
      <c r="AH291" s="4">
        <f>SUM(F291:AD291)</f>
        <v>4575891</v>
      </c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</row>
    <row r="292" spans="1:65" s="4" customFormat="1">
      <c r="A292" s="4">
        <v>147</v>
      </c>
      <c r="B292" s="35" t="s">
        <v>277</v>
      </c>
      <c r="C292" s="35"/>
      <c r="D292" s="35" t="s">
        <v>69</v>
      </c>
      <c r="E292" s="35"/>
      <c r="F292" s="35">
        <v>0</v>
      </c>
      <c r="G292" s="35"/>
      <c r="H292" s="35">
        <v>694844</v>
      </c>
      <c r="I292" s="35"/>
      <c r="J292" s="35">
        <v>0</v>
      </c>
      <c r="K292" s="35"/>
      <c r="L292" s="35">
        <v>27771</v>
      </c>
      <c r="M292" s="35"/>
      <c r="N292" s="35">
        <v>0</v>
      </c>
      <c r="O292" s="35"/>
      <c r="P292" s="35">
        <v>0</v>
      </c>
      <c r="Q292" s="35"/>
      <c r="R292" s="35">
        <v>4534</v>
      </c>
      <c r="S292" s="35"/>
      <c r="T292" s="35">
        <v>12785</v>
      </c>
      <c r="U292" s="35"/>
      <c r="V292" s="35">
        <v>1108</v>
      </c>
      <c r="W292" s="35"/>
      <c r="X292" s="35">
        <v>0</v>
      </c>
      <c r="Y292" s="35"/>
      <c r="Z292" s="35">
        <v>0</v>
      </c>
      <c r="AA292" s="35"/>
      <c r="AB292" s="35">
        <v>0</v>
      </c>
      <c r="AC292" s="35"/>
      <c r="AD292" s="35">
        <v>0</v>
      </c>
      <c r="AE292" s="35"/>
      <c r="AF292" s="35">
        <v>0</v>
      </c>
      <c r="AG292" s="35"/>
      <c r="AH292" s="4">
        <f>SUM(F292:AF292)</f>
        <v>741042</v>
      </c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</row>
    <row r="293" spans="1:65" s="4" customFormat="1">
      <c r="A293" s="4">
        <v>31</v>
      </c>
      <c r="B293" s="4" t="s">
        <v>617</v>
      </c>
      <c r="D293" s="4" t="s">
        <v>65</v>
      </c>
      <c r="F293" s="35">
        <v>0</v>
      </c>
      <c r="H293" s="4">
        <v>1637397</v>
      </c>
      <c r="J293" s="35">
        <v>0</v>
      </c>
      <c r="L293" s="4">
        <v>61553</v>
      </c>
      <c r="N293" s="35">
        <v>0</v>
      </c>
      <c r="P293" s="4">
        <v>6339</v>
      </c>
      <c r="R293" s="4">
        <v>172466</v>
      </c>
      <c r="T293" s="4">
        <v>4281</v>
      </c>
      <c r="V293" s="4">
        <v>6706</v>
      </c>
      <c r="X293" s="35">
        <v>0</v>
      </c>
      <c r="Z293" s="35">
        <v>0</v>
      </c>
      <c r="AB293" s="35">
        <v>0</v>
      </c>
      <c r="AD293" s="35">
        <v>0</v>
      </c>
      <c r="AF293" s="35">
        <v>0</v>
      </c>
      <c r="AH293" s="4">
        <f>SUM(F293:AD293)</f>
        <v>1888742</v>
      </c>
    </row>
    <row r="294" spans="1:65" s="4" customFormat="1">
      <c r="A294" s="39">
        <v>92.1</v>
      </c>
      <c r="B294" s="4" t="s">
        <v>278</v>
      </c>
      <c r="D294" s="4" t="s">
        <v>81</v>
      </c>
      <c r="F294" s="35">
        <v>0</v>
      </c>
      <c r="H294" s="35">
        <v>359431</v>
      </c>
      <c r="J294" s="35">
        <v>5400</v>
      </c>
      <c r="L294" s="35">
        <v>11294</v>
      </c>
      <c r="N294" s="35">
        <v>0</v>
      </c>
      <c r="P294" s="35">
        <v>0</v>
      </c>
      <c r="R294" s="35">
        <v>825</v>
      </c>
      <c r="T294" s="35">
        <v>3741</v>
      </c>
      <c r="V294" s="35">
        <v>814</v>
      </c>
      <c r="X294" s="35">
        <v>0</v>
      </c>
      <c r="Z294" s="35">
        <v>0</v>
      </c>
      <c r="AB294" s="35">
        <v>0</v>
      </c>
      <c r="AD294" s="35">
        <v>0</v>
      </c>
      <c r="AF294" s="35">
        <v>0</v>
      </c>
      <c r="AH294" s="4">
        <f>SUM(F294:AF294)</f>
        <v>381505</v>
      </c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</row>
    <row r="295" spans="1:65" s="4" customFormat="1">
      <c r="A295" s="4">
        <v>76</v>
      </c>
      <c r="B295" s="4" t="s">
        <v>320</v>
      </c>
      <c r="D295" s="4" t="s">
        <v>70</v>
      </c>
      <c r="F295" s="35">
        <v>0</v>
      </c>
      <c r="H295" s="35">
        <v>153086</v>
      </c>
      <c r="J295" s="35">
        <v>0</v>
      </c>
      <c r="L295" s="35">
        <v>1970</v>
      </c>
      <c r="N295" s="35">
        <v>0</v>
      </c>
      <c r="P295" s="35">
        <v>0</v>
      </c>
      <c r="R295" s="35">
        <v>1176</v>
      </c>
      <c r="T295" s="35">
        <v>2868</v>
      </c>
      <c r="V295" s="35">
        <v>151</v>
      </c>
      <c r="X295" s="35">
        <v>218</v>
      </c>
      <c r="Z295" s="35">
        <v>0</v>
      </c>
      <c r="AB295" s="35">
        <v>0</v>
      </c>
      <c r="AD295" s="35">
        <v>0</v>
      </c>
      <c r="AF295" s="35">
        <v>0</v>
      </c>
      <c r="AH295" s="4">
        <f>SUM(F295:AF295)</f>
        <v>159469</v>
      </c>
    </row>
    <row r="296" spans="1:65" s="4" customFormat="1">
      <c r="A296" s="4">
        <v>51</v>
      </c>
      <c r="B296" s="4" t="s">
        <v>279</v>
      </c>
      <c r="D296" s="4" t="s">
        <v>92</v>
      </c>
      <c r="F296" s="4">
        <v>6278922</v>
      </c>
      <c r="H296" s="4">
        <v>0</v>
      </c>
      <c r="J296" s="4">
        <v>3515269</v>
      </c>
      <c r="L296" s="4">
        <v>297960</v>
      </c>
      <c r="N296" s="35">
        <v>0</v>
      </c>
      <c r="P296" s="4">
        <v>803303</v>
      </c>
      <c r="R296" s="4">
        <v>3661</v>
      </c>
      <c r="T296" s="4">
        <v>276844</v>
      </c>
      <c r="V296" s="4">
        <v>18338</v>
      </c>
      <c r="X296" s="4">
        <v>0</v>
      </c>
      <c r="Z296" s="4">
        <v>0</v>
      </c>
      <c r="AB296" s="4">
        <v>0</v>
      </c>
      <c r="AD296" s="4">
        <v>0</v>
      </c>
      <c r="AF296" s="4">
        <v>0</v>
      </c>
      <c r="AH296" s="4">
        <f>SUM(F296:AD296)</f>
        <v>11194297</v>
      </c>
    </row>
    <row r="297" spans="1:65" s="4" customFormat="1">
      <c r="A297" s="4">
        <v>50</v>
      </c>
      <c r="B297" s="35" t="s">
        <v>470</v>
      </c>
      <c r="C297" s="35"/>
      <c r="D297" s="35" t="s">
        <v>55</v>
      </c>
      <c r="E297" s="35"/>
      <c r="F297" s="35">
        <v>253794</v>
      </c>
      <c r="G297" s="35"/>
      <c r="H297" s="35">
        <v>1444634</v>
      </c>
      <c r="I297" s="35"/>
      <c r="J297" s="35">
        <v>40989</v>
      </c>
      <c r="K297" s="35"/>
      <c r="L297" s="35">
        <v>36270</v>
      </c>
      <c r="M297" s="35"/>
      <c r="N297" s="35">
        <v>0</v>
      </c>
      <c r="O297" s="35"/>
      <c r="P297" s="35">
        <v>0</v>
      </c>
      <c r="Q297" s="35"/>
      <c r="R297" s="35">
        <v>4115</v>
      </c>
      <c r="S297" s="35"/>
      <c r="T297" s="35">
        <v>17074</v>
      </c>
      <c r="U297" s="35"/>
      <c r="V297" s="35">
        <v>10556</v>
      </c>
      <c r="W297" s="35"/>
      <c r="X297" s="35">
        <v>0</v>
      </c>
      <c r="Y297" s="35"/>
      <c r="Z297" s="35">
        <v>0</v>
      </c>
      <c r="AA297" s="35"/>
      <c r="AB297" s="35">
        <v>0</v>
      </c>
      <c r="AC297" s="35"/>
      <c r="AD297" s="35">
        <v>0</v>
      </c>
      <c r="AE297" s="35"/>
      <c r="AF297" s="35">
        <v>0</v>
      </c>
      <c r="AG297" s="35"/>
      <c r="AH297" s="4">
        <f>SUM(F297:AF297)</f>
        <v>1807432</v>
      </c>
    </row>
    <row r="298" spans="1:65" s="4" customForma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</row>
    <row r="299" spans="1:65" s="4" customForma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</row>
    <row r="300" spans="1:65" s="4" customForma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65" s="4" customForma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</row>
    <row r="302" spans="1:65" s="4" customForma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65" s="4" customForma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</row>
    <row r="304" spans="1:65" s="4" customForma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="4" customFormat="1"/>
  </sheetData>
  <sortState ref="B19:AH271">
    <sortCondition ref="B19:B271"/>
  </sortState>
  <phoneticPr fontId="2" type="noConversion"/>
  <printOptions horizontalCentered="1"/>
  <pageMargins left="0.75" right="0.75" top="0.5" bottom="0.5" header="0" footer="0.3"/>
  <pageSetup scale="80" firstPageNumber="8" fitToWidth="2" fitToHeight="2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6" min="1" max="33" man="1"/>
    <brk id="161" min="1" max="33" man="1"/>
    <brk id="235" min="1" max="3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03"/>
  <sheetViews>
    <sheetView view="pageBreakPreview" topLeftCell="E73" zoomScaleNormal="100" zoomScaleSheetLayoutView="100" workbookViewId="0">
      <selection activeCell="AF88" sqref="AF88"/>
    </sheetView>
  </sheetViews>
  <sheetFormatPr defaultColWidth="9.140625" defaultRowHeight="12"/>
  <cols>
    <col min="1" max="1" width="0" style="3" hidden="1" customWidth="1"/>
    <col min="2" max="2" width="38.8554687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0.42578125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" style="3" customWidth="1"/>
    <col min="11" max="11" width="1.28515625" style="3" customWidth="1"/>
    <col min="12" max="12" width="10.5703125" style="3" customWidth="1"/>
    <col min="13" max="13" width="1.28515625" style="3" customWidth="1"/>
    <col min="14" max="14" width="11.140625" style="3" customWidth="1"/>
    <col min="15" max="15" width="1.28515625" style="3" hidden="1" customWidth="1"/>
    <col min="16" max="16" width="10.5703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42578125" style="3" customWidth="1"/>
    <col min="23" max="23" width="1.28515625" style="3" customWidth="1"/>
    <col min="24" max="24" width="10.5703125" style="3" customWidth="1"/>
    <col min="25" max="25" width="1.28515625" style="3" customWidth="1"/>
    <col min="26" max="26" width="11.28515625" style="3" customWidth="1"/>
    <col min="27" max="27" width="1.28515625" style="3" customWidth="1"/>
    <col min="28" max="28" width="10.85546875" style="3" customWidth="1"/>
    <col min="29" max="29" width="1.28515625" style="3" customWidth="1"/>
    <col min="30" max="30" width="10.5703125" style="3" customWidth="1"/>
    <col min="31" max="31" width="1.28515625" style="3" customWidth="1"/>
    <col min="32" max="32" width="10.7109375" style="3" customWidth="1"/>
    <col min="33" max="16384" width="9.140625" style="3"/>
  </cols>
  <sheetData>
    <row r="1" spans="1:64">
      <c r="B1" s="3" t="s">
        <v>524</v>
      </c>
    </row>
    <row r="2" spans="1:64">
      <c r="B2" s="3" t="s">
        <v>527</v>
      </c>
    </row>
    <row r="3" spans="1:64" hidden="1">
      <c r="B3" s="41" t="s">
        <v>7</v>
      </c>
    </row>
    <row r="4" spans="1:64" s="36" customFormat="1">
      <c r="L4" s="36" t="s">
        <v>8</v>
      </c>
    </row>
    <row r="5" spans="1:64" s="36" customFormat="1">
      <c r="H5" s="36" t="s">
        <v>321</v>
      </c>
      <c r="J5" s="36" t="s">
        <v>323</v>
      </c>
      <c r="L5" s="36" t="s">
        <v>557</v>
      </c>
      <c r="N5" s="36" t="s">
        <v>556</v>
      </c>
      <c r="X5" s="36" t="s">
        <v>330</v>
      </c>
      <c r="AD5" s="36" t="s">
        <v>0</v>
      </c>
    </row>
    <row r="6" spans="1:64" s="36" customFormat="1">
      <c r="H6" s="36" t="s">
        <v>322</v>
      </c>
      <c r="J6" s="36" t="s">
        <v>324</v>
      </c>
      <c r="L6" s="36" t="s">
        <v>325</v>
      </c>
      <c r="N6" s="36" t="s">
        <v>554</v>
      </c>
      <c r="T6" s="36" t="s">
        <v>30</v>
      </c>
      <c r="V6" s="36" t="s">
        <v>328</v>
      </c>
      <c r="X6" s="36" t="s">
        <v>331</v>
      </c>
      <c r="AD6" s="36" t="s">
        <v>296</v>
      </c>
    </row>
    <row r="7" spans="1:64" s="36" customFormat="1" ht="12" customHeight="1">
      <c r="A7" s="36" t="s">
        <v>580</v>
      </c>
      <c r="B7" s="37" t="s">
        <v>8</v>
      </c>
      <c r="D7" s="37" t="s">
        <v>6</v>
      </c>
      <c r="F7" s="37" t="s">
        <v>2</v>
      </c>
      <c r="H7" s="37" t="s">
        <v>3</v>
      </c>
      <c r="J7" s="37" t="s">
        <v>29</v>
      </c>
      <c r="L7" s="37" t="s">
        <v>326</v>
      </c>
      <c r="N7" s="37" t="s">
        <v>555</v>
      </c>
      <c r="P7" s="37" t="s">
        <v>4</v>
      </c>
      <c r="R7" s="37" t="s">
        <v>0</v>
      </c>
      <c r="T7" s="37" t="s">
        <v>327</v>
      </c>
      <c r="V7" s="37" t="s">
        <v>329</v>
      </c>
      <c r="X7" s="37" t="s">
        <v>332</v>
      </c>
      <c r="Z7" s="37" t="s">
        <v>506</v>
      </c>
      <c r="AB7" s="37" t="s">
        <v>507</v>
      </c>
      <c r="AD7" s="37" t="s">
        <v>333</v>
      </c>
      <c r="AF7" s="49" t="s">
        <v>28</v>
      </c>
    </row>
    <row r="8" spans="1:64" hidden="1">
      <c r="A8" s="4">
        <v>2</v>
      </c>
      <c r="B8" s="4" t="s">
        <v>435</v>
      </c>
      <c r="C8" s="4"/>
      <c r="D8" s="4" t="s">
        <v>97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>SUM(F8:AD8)</f>
        <v>0</v>
      </c>
      <c r="AG8" s="7"/>
    </row>
    <row r="9" spans="1:64" s="7" customFormat="1" hidden="1">
      <c r="A9" s="4">
        <v>75</v>
      </c>
      <c r="B9" s="3" t="s">
        <v>436</v>
      </c>
      <c r="C9" s="3"/>
      <c r="D9" s="3" t="s">
        <v>92</v>
      </c>
      <c r="E9" s="3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3"/>
      <c r="R9" s="4"/>
      <c r="S9" s="3"/>
      <c r="T9" s="4"/>
      <c r="U9" s="3"/>
      <c r="V9" s="4"/>
      <c r="W9" s="3"/>
      <c r="X9" s="4"/>
      <c r="Y9" s="3"/>
      <c r="Z9" s="4"/>
      <c r="AA9" s="3"/>
      <c r="AB9" s="4"/>
      <c r="AC9" s="3"/>
      <c r="AD9" s="4"/>
      <c r="AE9" s="3"/>
      <c r="AF9" s="4">
        <f>SUM(F9:AD9)</f>
        <v>0</v>
      </c>
      <c r="AG9" s="50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</row>
    <row r="10" spans="1:64" hidden="1">
      <c r="A10" s="4">
        <v>80</v>
      </c>
      <c r="B10" s="3" t="s">
        <v>267</v>
      </c>
      <c r="D10" s="3" t="s">
        <v>92</v>
      </c>
      <c r="F10" s="4"/>
      <c r="H10" s="4"/>
      <c r="J10" s="4"/>
      <c r="L10" s="4"/>
      <c r="N10" s="4"/>
      <c r="P10" s="4"/>
      <c r="R10" s="4"/>
      <c r="T10" s="4"/>
      <c r="V10" s="4"/>
      <c r="X10" s="4"/>
      <c r="Z10" s="4"/>
      <c r="AB10" s="4"/>
      <c r="AD10" s="4"/>
      <c r="AF10" s="4">
        <f>SUM(F10:AD10)</f>
        <v>0</v>
      </c>
    </row>
    <row r="11" spans="1:64" hidden="1">
      <c r="A11" s="4">
        <v>117</v>
      </c>
      <c r="B11" s="3" t="s">
        <v>223</v>
      </c>
      <c r="D11" s="3" t="s">
        <v>170</v>
      </c>
      <c r="F11" s="4"/>
      <c r="H11" s="4"/>
      <c r="J11" s="4"/>
      <c r="L11" s="4"/>
      <c r="N11" s="4"/>
      <c r="P11" s="4"/>
      <c r="R11" s="4"/>
      <c r="T11" s="4"/>
      <c r="V11" s="4"/>
      <c r="X11" s="4"/>
      <c r="Z11" s="4"/>
      <c r="AB11" s="4"/>
      <c r="AD11" s="4"/>
      <c r="AF11" s="4">
        <f>SUM(F11:AD11)</f>
        <v>0</v>
      </c>
    </row>
    <row r="12" spans="1:64" s="7" customFormat="1" hidden="1">
      <c r="A12" s="4">
        <v>135</v>
      </c>
      <c r="B12" s="3" t="s">
        <v>442</v>
      </c>
      <c r="C12" s="3"/>
      <c r="D12" s="3" t="s">
        <v>41</v>
      </c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>
        <f>SUM(F12:AD12)</f>
        <v>0</v>
      </c>
    </row>
    <row r="13" spans="1:64" hidden="1">
      <c r="A13" s="4">
        <v>152</v>
      </c>
      <c r="B13" s="3" t="s">
        <v>214</v>
      </c>
      <c r="D13" s="3" t="s">
        <v>215</v>
      </c>
      <c r="F13" s="4"/>
      <c r="H13" s="4"/>
      <c r="J13" s="4"/>
      <c r="L13" s="4"/>
      <c r="N13" s="4"/>
      <c r="P13" s="4"/>
      <c r="R13" s="4"/>
      <c r="T13" s="4"/>
      <c r="V13" s="4"/>
      <c r="X13" s="4"/>
      <c r="Z13" s="4"/>
      <c r="AB13" s="4"/>
      <c r="AD13" s="4"/>
      <c r="AF13" s="4">
        <f>SUM(F13:AD13)</f>
        <v>0</v>
      </c>
    </row>
    <row r="14" spans="1:64" hidden="1">
      <c r="A14" s="4">
        <v>180</v>
      </c>
      <c r="B14" s="3" t="s">
        <v>253</v>
      </c>
      <c r="D14" s="3" t="s">
        <v>106</v>
      </c>
      <c r="F14" s="4"/>
      <c r="H14" s="4"/>
      <c r="J14" s="4"/>
      <c r="L14" s="4"/>
      <c r="N14" s="4"/>
      <c r="P14" s="4"/>
      <c r="R14" s="4"/>
      <c r="T14" s="4"/>
      <c r="V14" s="4"/>
      <c r="X14" s="4"/>
      <c r="Z14" s="4"/>
      <c r="AB14" s="4"/>
      <c r="AD14" s="4"/>
      <c r="AF14" s="4">
        <f>SUM(F14:AD14)</f>
        <v>0</v>
      </c>
      <c r="AG14" s="51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4"/>
    </row>
    <row r="15" spans="1:64" hidden="1">
      <c r="A15" s="4">
        <v>185</v>
      </c>
      <c r="B15" s="3" t="s">
        <v>230</v>
      </c>
      <c r="D15" s="3" t="s">
        <v>229</v>
      </c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>
        <f>SUM(F15:AD15)</f>
        <v>0</v>
      </c>
    </row>
    <row r="16" spans="1:64" hidden="1">
      <c r="A16" s="4">
        <v>189</v>
      </c>
      <c r="B16" s="3" t="s">
        <v>450</v>
      </c>
      <c r="D16" s="3" t="s">
        <v>236</v>
      </c>
      <c r="F16" s="4"/>
      <c r="H16" s="4"/>
      <c r="J16" s="4"/>
      <c r="L16" s="4"/>
      <c r="N16" s="4"/>
      <c r="P16" s="4"/>
      <c r="R16" s="4"/>
      <c r="T16" s="4"/>
      <c r="V16" s="4"/>
      <c r="X16" s="4"/>
      <c r="Z16" s="4"/>
      <c r="AB16" s="4"/>
      <c r="AD16" s="4"/>
      <c r="AF16" s="4">
        <f>SUM(F16:AD16)</f>
        <v>0</v>
      </c>
    </row>
    <row r="17" spans="1:64" hidden="1">
      <c r="A17" s="4">
        <v>233</v>
      </c>
      <c r="B17" s="35" t="s">
        <v>457</v>
      </c>
      <c r="C17" s="35"/>
      <c r="D17" s="35" t="s">
        <v>501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4">
        <f>SUM(F17:AD17)</f>
        <v>0</v>
      </c>
    </row>
    <row r="18" spans="1:64" hidden="1">
      <c r="A18" s="4">
        <v>234</v>
      </c>
      <c r="B18" s="3" t="s">
        <v>201</v>
      </c>
      <c r="D18" s="3" t="s">
        <v>26</v>
      </c>
      <c r="F18" s="4"/>
      <c r="H18" s="4"/>
      <c r="J18" s="4"/>
      <c r="L18" s="4"/>
      <c r="N18" s="4"/>
      <c r="P18" s="4"/>
      <c r="R18" s="4"/>
      <c r="T18" s="4"/>
      <c r="V18" s="4"/>
      <c r="X18" s="4"/>
      <c r="Z18" s="4"/>
      <c r="AB18" s="4"/>
      <c r="AD18" s="4"/>
      <c r="AF18" s="4">
        <f>SUM(F18:AD18)</f>
        <v>0</v>
      </c>
      <c r="AG18" s="51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4"/>
    </row>
    <row r="19" spans="1:64" s="7" customFormat="1">
      <c r="A19" s="7">
        <v>95</v>
      </c>
      <c r="B19" s="7" t="s">
        <v>73</v>
      </c>
      <c r="D19" s="7" t="s">
        <v>61</v>
      </c>
      <c r="F19" s="7">
        <v>157397</v>
      </c>
      <c r="H19" s="7">
        <v>49548</v>
      </c>
      <c r="J19" s="7">
        <v>48037</v>
      </c>
      <c r="L19" s="7">
        <v>33382</v>
      </c>
      <c r="N19" s="7">
        <v>0</v>
      </c>
      <c r="P19" s="7">
        <v>5995</v>
      </c>
      <c r="R19" s="7">
        <v>4388</v>
      </c>
      <c r="T19" s="7">
        <v>1000</v>
      </c>
      <c r="V19" s="7">
        <v>0</v>
      </c>
      <c r="X19" s="7">
        <v>0</v>
      </c>
      <c r="Z19" s="7">
        <v>0</v>
      </c>
      <c r="AB19" s="7">
        <v>0</v>
      </c>
      <c r="AD19" s="7">
        <v>0</v>
      </c>
      <c r="AF19" s="7">
        <f>SUM(F19:AD19)</f>
        <v>299747</v>
      </c>
      <c r="AG19" s="50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4">
      <c r="A20" s="4">
        <v>1</v>
      </c>
      <c r="B20" s="3" t="s">
        <v>74</v>
      </c>
      <c r="D20" s="3" t="s">
        <v>40</v>
      </c>
      <c r="F20" s="4">
        <v>532811</v>
      </c>
      <c r="G20" s="4"/>
      <c r="H20" s="4">
        <v>125954</v>
      </c>
      <c r="I20" s="4"/>
      <c r="J20" s="4">
        <v>98901</v>
      </c>
      <c r="K20" s="4"/>
      <c r="L20" s="4">
        <v>146623</v>
      </c>
      <c r="M20" s="4"/>
      <c r="N20" s="4">
        <v>0</v>
      </c>
      <c r="O20" s="4"/>
      <c r="P20" s="4">
        <v>16264</v>
      </c>
      <c r="Q20" s="4"/>
      <c r="R20" s="4">
        <v>4782</v>
      </c>
      <c r="S20" s="4"/>
      <c r="T20" s="4">
        <v>7293</v>
      </c>
      <c r="U20" s="4"/>
      <c r="V20" s="4">
        <v>0</v>
      </c>
      <c r="W20" s="4"/>
      <c r="X20" s="4">
        <v>0</v>
      </c>
      <c r="Y20" s="4"/>
      <c r="Z20" s="4">
        <v>0</v>
      </c>
      <c r="AA20" s="4"/>
      <c r="AB20" s="4">
        <v>0</v>
      </c>
      <c r="AC20" s="4"/>
      <c r="AD20" s="4">
        <v>0</v>
      </c>
      <c r="AE20" s="4"/>
      <c r="AF20" s="4">
        <f>SUM(F20:AD20)</f>
        <v>932628</v>
      </c>
    </row>
    <row r="21" spans="1:64">
      <c r="A21" s="4">
        <v>216</v>
      </c>
      <c r="B21" s="45" t="s">
        <v>434</v>
      </c>
      <c r="C21" s="45"/>
      <c r="D21" s="45" t="s">
        <v>22</v>
      </c>
      <c r="E21" s="45"/>
      <c r="F21" s="4">
        <f>27716143-1023255</f>
        <v>26692888</v>
      </c>
      <c r="G21" s="15"/>
      <c r="H21" s="4">
        <v>0</v>
      </c>
      <c r="I21" s="15"/>
      <c r="J21" s="4">
        <v>0</v>
      </c>
      <c r="K21" s="15"/>
      <c r="L21" s="4">
        <v>0</v>
      </c>
      <c r="M21" s="15"/>
      <c r="N21" s="4">
        <v>0</v>
      </c>
      <c r="O21" s="15"/>
      <c r="P21" s="4">
        <v>0</v>
      </c>
      <c r="Q21" s="15"/>
      <c r="R21" s="4">
        <v>0</v>
      </c>
      <c r="S21" s="15"/>
      <c r="T21" s="4">
        <v>1023255</v>
      </c>
      <c r="U21" s="15"/>
      <c r="V21" s="4">
        <v>0</v>
      </c>
      <c r="W21" s="15"/>
      <c r="X21" s="4">
        <v>0</v>
      </c>
      <c r="Y21" s="15"/>
      <c r="Z21" s="4">
        <v>700000</v>
      </c>
      <c r="AA21" s="15"/>
      <c r="AB21" s="4">
        <v>0</v>
      </c>
      <c r="AC21" s="15"/>
      <c r="AD21" s="4">
        <v>0</v>
      </c>
      <c r="AE21" s="15"/>
      <c r="AF21" s="4">
        <f>SUM(F21:AD21)</f>
        <v>28416143</v>
      </c>
      <c r="AG21" s="51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4"/>
    </row>
    <row r="22" spans="1:64">
      <c r="A22" s="4">
        <v>131</v>
      </c>
      <c r="B22" s="35" t="s">
        <v>511</v>
      </c>
      <c r="C22" s="35"/>
      <c r="D22" s="35" t="s">
        <v>488</v>
      </c>
      <c r="E22" s="35"/>
      <c r="F22" s="4">
        <v>173748</v>
      </c>
      <c r="G22" s="35"/>
      <c r="H22" s="4">
        <v>26982</v>
      </c>
      <c r="I22" s="35"/>
      <c r="J22" s="4">
        <v>50403</v>
      </c>
      <c r="K22" s="35"/>
      <c r="L22" s="4">
        <v>70045</v>
      </c>
      <c r="M22" s="35"/>
      <c r="N22" s="4">
        <v>0</v>
      </c>
      <c r="O22" s="35"/>
      <c r="P22" s="4">
        <v>7975</v>
      </c>
      <c r="Q22" s="35"/>
      <c r="R22" s="4">
        <v>3380</v>
      </c>
      <c r="S22" s="35"/>
      <c r="T22" s="4">
        <v>11438</v>
      </c>
      <c r="U22" s="35"/>
      <c r="V22" s="4">
        <v>0</v>
      </c>
      <c r="W22" s="35"/>
      <c r="X22" s="4">
        <v>0</v>
      </c>
      <c r="Y22" s="35"/>
      <c r="Z22" s="4">
        <v>0</v>
      </c>
      <c r="AA22" s="35"/>
      <c r="AB22" s="4">
        <v>0</v>
      </c>
      <c r="AC22" s="35"/>
      <c r="AD22" s="4">
        <v>0</v>
      </c>
      <c r="AE22" s="35"/>
      <c r="AF22" s="4">
        <f>SUM(F22:AD22)</f>
        <v>343971</v>
      </c>
    </row>
    <row r="23" spans="1:64">
      <c r="A23" s="4">
        <v>96</v>
      </c>
      <c r="B23" s="3" t="s">
        <v>75</v>
      </c>
      <c r="D23" s="3" t="s">
        <v>61</v>
      </c>
      <c r="F23" s="4">
        <v>32442</v>
      </c>
      <c r="G23" s="4"/>
      <c r="H23" s="4">
        <v>5162</v>
      </c>
      <c r="I23" s="4"/>
      <c r="J23" s="4">
        <v>16629</v>
      </c>
      <c r="K23" s="4"/>
      <c r="L23" s="4">
        <v>13396</v>
      </c>
      <c r="M23" s="4"/>
      <c r="N23" s="4">
        <v>0</v>
      </c>
      <c r="O23" s="4"/>
      <c r="P23" s="4">
        <v>2282</v>
      </c>
      <c r="Q23" s="4"/>
      <c r="R23" s="4">
        <v>1688</v>
      </c>
      <c r="S23" s="4"/>
      <c r="T23" s="4">
        <v>5645</v>
      </c>
      <c r="U23" s="4"/>
      <c r="V23" s="4">
        <v>0</v>
      </c>
      <c r="W23" s="4"/>
      <c r="X23" s="4">
        <v>0</v>
      </c>
      <c r="Y23" s="4"/>
      <c r="Z23" s="4">
        <v>30662</v>
      </c>
      <c r="AA23" s="4"/>
      <c r="AB23" s="4">
        <v>0</v>
      </c>
      <c r="AC23" s="4"/>
      <c r="AD23" s="4">
        <v>200</v>
      </c>
      <c r="AE23" s="4"/>
      <c r="AF23" s="4">
        <f>SUM(F23:AD23)</f>
        <v>108106</v>
      </c>
      <c r="AG23" s="51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4"/>
    </row>
    <row r="24" spans="1:64">
      <c r="A24" s="4">
        <v>140</v>
      </c>
      <c r="B24" s="3" t="s">
        <v>76</v>
      </c>
      <c r="D24" s="3" t="s">
        <v>57</v>
      </c>
      <c r="F24" s="4">
        <v>536233</v>
      </c>
      <c r="G24" s="4"/>
      <c r="H24" s="4">
        <v>103549</v>
      </c>
      <c r="I24" s="4"/>
      <c r="J24" s="4">
        <v>155457</v>
      </c>
      <c r="K24" s="4"/>
      <c r="L24" s="4">
        <v>198304</v>
      </c>
      <c r="M24" s="4"/>
      <c r="N24" s="4">
        <v>0</v>
      </c>
      <c r="O24" s="4"/>
      <c r="P24" s="4">
        <v>36849</v>
      </c>
      <c r="Q24" s="4"/>
      <c r="R24" s="4">
        <v>8248</v>
      </c>
      <c r="S24" s="4"/>
      <c r="T24" s="4">
        <v>30319</v>
      </c>
      <c r="U24" s="4"/>
      <c r="V24" s="4">
        <v>0</v>
      </c>
      <c r="W24" s="4"/>
      <c r="X24" s="4">
        <v>0</v>
      </c>
      <c r="Y24" s="4"/>
      <c r="Z24" s="4">
        <v>0</v>
      </c>
      <c r="AA24" s="4"/>
      <c r="AB24" s="4">
        <v>0</v>
      </c>
      <c r="AC24" s="4"/>
      <c r="AD24" s="4">
        <v>2820</v>
      </c>
      <c r="AE24" s="4"/>
      <c r="AF24" s="4">
        <f>SUM(F24:AD24)</f>
        <v>1071779</v>
      </c>
    </row>
    <row r="25" spans="1:64">
      <c r="A25" s="4">
        <v>208</v>
      </c>
      <c r="B25" s="3" t="s">
        <v>77</v>
      </c>
      <c r="D25" s="3" t="s">
        <v>78</v>
      </c>
      <c r="F25" s="4">
        <v>910855</v>
      </c>
      <c r="G25" s="4"/>
      <c r="H25" s="4">
        <v>257726</v>
      </c>
      <c r="I25" s="4"/>
      <c r="J25" s="4">
        <v>294834</v>
      </c>
      <c r="K25" s="4"/>
      <c r="L25" s="4">
        <v>304409</v>
      </c>
      <c r="M25" s="4"/>
      <c r="N25" s="4">
        <v>0</v>
      </c>
      <c r="O25" s="4"/>
      <c r="P25" s="4">
        <v>63232</v>
      </c>
      <c r="Q25" s="4"/>
      <c r="R25" s="4">
        <v>10692</v>
      </c>
      <c r="S25" s="4"/>
      <c r="T25" s="4">
        <v>20163</v>
      </c>
      <c r="U25" s="4"/>
      <c r="V25" s="4">
        <v>0</v>
      </c>
      <c r="W25" s="4"/>
      <c r="X25" s="4">
        <v>0</v>
      </c>
      <c r="Y25" s="4"/>
      <c r="Z25" s="4">
        <v>0</v>
      </c>
      <c r="AA25" s="4"/>
      <c r="AB25" s="4">
        <v>0</v>
      </c>
      <c r="AC25" s="4"/>
      <c r="AD25" s="4">
        <v>0</v>
      </c>
      <c r="AE25" s="4"/>
      <c r="AF25" s="4">
        <f>SUM(F25:AD25)</f>
        <v>1861911</v>
      </c>
      <c r="AG25" s="51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4"/>
    </row>
    <row r="26" spans="1:64">
      <c r="A26" s="4">
        <v>8</v>
      </c>
      <c r="B26" s="3" t="s">
        <v>79</v>
      </c>
      <c r="D26" s="3" t="s">
        <v>43</v>
      </c>
      <c r="F26" s="4">
        <v>204228</v>
      </c>
      <c r="G26" s="4"/>
      <c r="H26" s="4">
        <v>58657</v>
      </c>
      <c r="I26" s="4"/>
      <c r="J26" s="4">
        <v>33506</v>
      </c>
      <c r="K26" s="4"/>
      <c r="L26" s="4">
        <v>14894</v>
      </c>
      <c r="M26" s="4"/>
      <c r="N26" s="4">
        <v>0</v>
      </c>
      <c r="O26" s="4"/>
      <c r="P26" s="4">
        <v>4024</v>
      </c>
      <c r="Q26" s="4"/>
      <c r="R26" s="4">
        <v>28550</v>
      </c>
      <c r="S26" s="4"/>
      <c r="T26" s="4">
        <v>0</v>
      </c>
      <c r="U26" s="4"/>
      <c r="V26" s="4">
        <v>0</v>
      </c>
      <c r="W26" s="4"/>
      <c r="X26" s="4">
        <v>0</v>
      </c>
      <c r="Y26" s="4"/>
      <c r="Z26" s="4">
        <v>11425</v>
      </c>
      <c r="AA26" s="4"/>
      <c r="AB26" s="4">
        <v>0</v>
      </c>
      <c r="AC26" s="4"/>
      <c r="AD26" s="4">
        <v>0</v>
      </c>
      <c r="AE26" s="4"/>
      <c r="AF26" s="4">
        <f>SUM(F26:AD26)</f>
        <v>355284</v>
      </c>
      <c r="AG26" s="51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4"/>
    </row>
    <row r="27" spans="1:64">
      <c r="A27" s="4">
        <v>58</v>
      </c>
      <c r="B27" s="3" t="s">
        <v>80</v>
      </c>
      <c r="D27" s="3" t="s">
        <v>81</v>
      </c>
      <c r="F27" s="4">
        <v>165598</v>
      </c>
      <c r="G27" s="4"/>
      <c r="H27" s="4">
        <v>25645</v>
      </c>
      <c r="I27" s="4"/>
      <c r="J27" s="4">
        <v>43761</v>
      </c>
      <c r="K27" s="4"/>
      <c r="L27" s="4">
        <v>64189</v>
      </c>
      <c r="M27" s="4"/>
      <c r="N27" s="4">
        <v>0</v>
      </c>
      <c r="O27" s="4"/>
      <c r="P27" s="4">
        <v>12702</v>
      </c>
      <c r="Q27" s="4"/>
      <c r="R27" s="4">
        <v>1134</v>
      </c>
      <c r="S27" s="4"/>
      <c r="T27" s="4">
        <v>8647</v>
      </c>
      <c r="U27" s="4"/>
      <c r="V27" s="4">
        <v>0</v>
      </c>
      <c r="W27" s="4"/>
      <c r="X27" s="4">
        <v>0</v>
      </c>
      <c r="Y27" s="4"/>
      <c r="Z27" s="4">
        <v>0</v>
      </c>
      <c r="AA27" s="4"/>
      <c r="AB27" s="4">
        <v>0</v>
      </c>
      <c r="AC27" s="4"/>
      <c r="AD27" s="4">
        <v>0</v>
      </c>
      <c r="AE27" s="4"/>
      <c r="AF27" s="4">
        <f>SUM(F27:AD27)</f>
        <v>321676</v>
      </c>
    </row>
    <row r="28" spans="1:64">
      <c r="A28" s="4">
        <v>82</v>
      </c>
      <c r="B28" s="3" t="s">
        <v>298</v>
      </c>
      <c r="D28" s="3" t="s">
        <v>42</v>
      </c>
      <c r="F28" s="4">
        <v>208622</v>
      </c>
      <c r="G28" s="4"/>
      <c r="H28" s="4">
        <v>65014</v>
      </c>
      <c r="I28" s="4"/>
      <c r="J28" s="4">
        <v>65180</v>
      </c>
      <c r="K28" s="4"/>
      <c r="L28" s="4">
        <v>50001</v>
      </c>
      <c r="M28" s="4"/>
      <c r="N28" s="4">
        <v>0</v>
      </c>
      <c r="O28" s="4"/>
      <c r="P28" s="4">
        <v>10010</v>
      </c>
      <c r="Q28" s="4"/>
      <c r="R28" s="4">
        <v>914</v>
      </c>
      <c r="S28" s="4"/>
      <c r="T28" s="4">
        <v>500</v>
      </c>
      <c r="U28" s="4"/>
      <c r="V28" s="4">
        <v>0</v>
      </c>
      <c r="W28" s="4"/>
      <c r="X28" s="4">
        <v>0</v>
      </c>
      <c r="Y28" s="4"/>
      <c r="Z28" s="4">
        <v>0</v>
      </c>
      <c r="AA28" s="4"/>
      <c r="AB28" s="4">
        <v>0</v>
      </c>
      <c r="AC28" s="4"/>
      <c r="AD28" s="4">
        <v>0</v>
      </c>
      <c r="AE28" s="4"/>
      <c r="AF28" s="4">
        <f>SUM(F28:AD28)</f>
        <v>400241</v>
      </c>
    </row>
    <row r="29" spans="1:64">
      <c r="A29" s="4">
        <v>6</v>
      </c>
      <c r="B29" s="3" t="s">
        <v>82</v>
      </c>
      <c r="D29" s="3" t="s">
        <v>83</v>
      </c>
      <c r="F29" s="4">
        <f>1440721-112281-180190</f>
        <v>1148250</v>
      </c>
      <c r="G29" s="4"/>
      <c r="H29" s="4">
        <v>0</v>
      </c>
      <c r="I29" s="4"/>
      <c r="J29" s="4">
        <v>112281</v>
      </c>
      <c r="K29" s="4"/>
      <c r="L29" s="4">
        <v>180190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4"/>
      <c r="AF29" s="4">
        <f>SUM(F29:AD29)</f>
        <v>1440721</v>
      </c>
    </row>
    <row r="30" spans="1:64">
      <c r="A30" s="4">
        <v>9</v>
      </c>
      <c r="B30" s="35" t="s">
        <v>335</v>
      </c>
      <c r="C30" s="35"/>
      <c r="D30" s="35" t="s">
        <v>471</v>
      </c>
      <c r="E30" s="35"/>
      <c r="F30" s="4">
        <v>782509</v>
      </c>
      <c r="G30" s="35"/>
      <c r="H30" s="4">
        <v>339331</v>
      </c>
      <c r="I30" s="35"/>
      <c r="J30" s="4">
        <v>181622</v>
      </c>
      <c r="K30" s="35"/>
      <c r="L30" s="4">
        <v>217895</v>
      </c>
      <c r="M30" s="35"/>
      <c r="N30" s="4">
        <v>0</v>
      </c>
      <c r="O30" s="35"/>
      <c r="P30" s="4">
        <v>45934</v>
      </c>
      <c r="Q30" s="35"/>
      <c r="R30" s="4">
        <v>16806</v>
      </c>
      <c r="S30" s="35"/>
      <c r="T30" s="4">
        <v>60000</v>
      </c>
      <c r="U30" s="35"/>
      <c r="V30" s="4">
        <v>0</v>
      </c>
      <c r="W30" s="35"/>
      <c r="X30" s="4">
        <v>0</v>
      </c>
      <c r="Y30" s="35"/>
      <c r="Z30" s="4">
        <v>16290</v>
      </c>
      <c r="AA30" s="35"/>
      <c r="AB30" s="4">
        <v>0</v>
      </c>
      <c r="AC30" s="35"/>
      <c r="AD30" s="4">
        <v>0</v>
      </c>
      <c r="AE30" s="35"/>
      <c r="AF30" s="4">
        <f>SUM(F30:AD30)</f>
        <v>1660387</v>
      </c>
      <c r="AG30" s="4"/>
    </row>
    <row r="31" spans="1:64">
      <c r="A31" s="4">
        <v>17</v>
      </c>
      <c r="B31" s="35" t="s">
        <v>595</v>
      </c>
      <c r="C31" s="35"/>
      <c r="D31" s="35" t="s">
        <v>473</v>
      </c>
      <c r="E31" s="35"/>
      <c r="F31" s="4">
        <v>568108</v>
      </c>
      <c r="G31" s="35"/>
      <c r="H31" s="4">
        <v>139303</v>
      </c>
      <c r="I31" s="35"/>
      <c r="J31" s="4">
        <v>181007</v>
      </c>
      <c r="K31" s="35"/>
      <c r="L31" s="4">
        <v>189654</v>
      </c>
      <c r="M31" s="35"/>
      <c r="N31" s="4">
        <v>0</v>
      </c>
      <c r="O31" s="35"/>
      <c r="P31" s="4">
        <v>33047</v>
      </c>
      <c r="Q31" s="35"/>
      <c r="R31" s="4">
        <v>7070</v>
      </c>
      <c r="S31" s="35"/>
      <c r="T31" s="4">
        <v>44286</v>
      </c>
      <c r="U31" s="35"/>
      <c r="V31" s="4">
        <v>0</v>
      </c>
      <c r="W31" s="35"/>
      <c r="X31" s="4">
        <v>0</v>
      </c>
      <c r="Y31" s="35"/>
      <c r="Z31" s="4">
        <v>22500</v>
      </c>
      <c r="AA31" s="35"/>
      <c r="AB31" s="4">
        <v>0</v>
      </c>
      <c r="AC31" s="35"/>
      <c r="AD31" s="4">
        <v>0</v>
      </c>
      <c r="AE31" s="35"/>
      <c r="AF31" s="4">
        <f>SUM(F31:AD31)</f>
        <v>1184975</v>
      </c>
    </row>
    <row r="32" spans="1:64">
      <c r="A32" s="4">
        <v>141</v>
      </c>
      <c r="B32" s="3" t="s">
        <v>84</v>
      </c>
      <c r="D32" s="3" t="s">
        <v>57</v>
      </c>
      <c r="F32" s="4">
        <v>2408301</v>
      </c>
      <c r="G32" s="4"/>
      <c r="H32" s="4">
        <v>0</v>
      </c>
      <c r="I32" s="4"/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0</v>
      </c>
      <c r="S32" s="4"/>
      <c r="T32" s="4">
        <v>0</v>
      </c>
      <c r="U32" s="4"/>
      <c r="V32" s="4">
        <v>0</v>
      </c>
      <c r="W32" s="4"/>
      <c r="X32" s="4">
        <v>0</v>
      </c>
      <c r="Y32" s="4"/>
      <c r="Z32" s="4">
        <v>0</v>
      </c>
      <c r="AA32" s="4"/>
      <c r="AB32" s="4">
        <v>0</v>
      </c>
      <c r="AC32" s="4"/>
      <c r="AD32" s="4">
        <v>0</v>
      </c>
      <c r="AE32" s="4"/>
      <c r="AF32" s="4">
        <f>SUM(F32:AD32)</f>
        <v>2408301</v>
      </c>
    </row>
    <row r="33" spans="1:64">
      <c r="A33" s="4">
        <v>217</v>
      </c>
      <c r="B33" s="3" t="s">
        <v>357</v>
      </c>
      <c r="D33" s="4" t="s">
        <v>432</v>
      </c>
      <c r="F33" s="4">
        <v>711556</v>
      </c>
      <c r="G33" s="4"/>
      <c r="H33" s="4">
        <v>200711</v>
      </c>
      <c r="I33" s="4"/>
      <c r="J33" s="4">
        <v>214281</v>
      </c>
      <c r="K33" s="4"/>
      <c r="L33" s="4">
        <v>180346</v>
      </c>
      <c r="M33" s="4"/>
      <c r="N33" s="4">
        <v>0</v>
      </c>
      <c r="O33" s="4"/>
      <c r="P33" s="4">
        <v>23876</v>
      </c>
      <c r="Q33" s="4"/>
      <c r="R33" s="4">
        <v>5506</v>
      </c>
      <c r="S33" s="4"/>
      <c r="T33" s="4">
        <v>27902</v>
      </c>
      <c r="U33" s="4"/>
      <c r="V33" s="4">
        <v>0</v>
      </c>
      <c r="W33" s="4"/>
      <c r="X33" s="4">
        <v>0</v>
      </c>
      <c r="Y33" s="4"/>
      <c r="Z33" s="4">
        <v>92751</v>
      </c>
      <c r="AA33" s="4"/>
      <c r="AB33" s="4">
        <v>0</v>
      </c>
      <c r="AC33" s="4"/>
      <c r="AD33" s="4">
        <v>0</v>
      </c>
      <c r="AE33" s="4"/>
      <c r="AF33" s="4">
        <f>SUM(F33:AD33)</f>
        <v>1456929</v>
      </c>
    </row>
    <row r="34" spans="1:64">
      <c r="A34" s="4">
        <v>19</v>
      </c>
      <c r="B34" s="3" t="s">
        <v>21</v>
      </c>
      <c r="D34" s="3" t="s">
        <v>13</v>
      </c>
      <c r="F34" s="4">
        <v>357131</v>
      </c>
      <c r="G34" s="4"/>
      <c r="H34" s="4">
        <v>0</v>
      </c>
      <c r="I34" s="4"/>
      <c r="J34" s="4">
        <v>88458</v>
      </c>
      <c r="K34" s="4"/>
      <c r="L34" s="4">
        <v>92039</v>
      </c>
      <c r="M34" s="4"/>
      <c r="N34" s="4">
        <v>0</v>
      </c>
      <c r="O34" s="4"/>
      <c r="P34" s="4">
        <v>0</v>
      </c>
      <c r="Q34" s="4"/>
      <c r="R34" s="4">
        <v>1785</v>
      </c>
      <c r="S34" s="4"/>
      <c r="T34" s="4">
        <v>14355</v>
      </c>
      <c r="U34" s="4"/>
      <c r="V34" s="4">
        <v>0</v>
      </c>
      <c r="W34" s="4"/>
      <c r="X34" s="4">
        <v>0</v>
      </c>
      <c r="Y34" s="4"/>
      <c r="Z34" s="4">
        <v>25000</v>
      </c>
      <c r="AA34" s="4"/>
      <c r="AB34" s="4">
        <v>0</v>
      </c>
      <c r="AC34" s="4"/>
      <c r="AD34" s="4">
        <v>0</v>
      </c>
      <c r="AE34" s="4"/>
      <c r="AF34" s="4">
        <f>SUM(F34:AD34)</f>
        <v>578768</v>
      </c>
    </row>
    <row r="35" spans="1:64">
      <c r="A35" s="4">
        <v>20</v>
      </c>
      <c r="B35" s="35" t="s">
        <v>85</v>
      </c>
      <c r="C35" s="35"/>
      <c r="D35" s="35" t="s">
        <v>474</v>
      </c>
      <c r="E35" s="35"/>
      <c r="F35" s="4">
        <v>269039</v>
      </c>
      <c r="G35" s="35"/>
      <c r="H35" s="4">
        <v>102584</v>
      </c>
      <c r="I35" s="35"/>
      <c r="J35" s="4">
        <v>53736</v>
      </c>
      <c r="K35" s="35"/>
      <c r="L35" s="4">
        <v>110281</v>
      </c>
      <c r="M35" s="35"/>
      <c r="N35" s="4">
        <v>0</v>
      </c>
      <c r="O35" s="35"/>
      <c r="P35" s="4">
        <v>23161</v>
      </c>
      <c r="Q35" s="35"/>
      <c r="R35" s="4">
        <v>10683</v>
      </c>
      <c r="S35" s="35"/>
      <c r="T35" s="4">
        <v>2373</v>
      </c>
      <c r="U35" s="35"/>
      <c r="V35" s="4">
        <v>0</v>
      </c>
      <c r="W35" s="35"/>
      <c r="X35" s="4">
        <v>0</v>
      </c>
      <c r="Y35" s="35"/>
      <c r="Z35" s="4">
        <v>0</v>
      </c>
      <c r="AA35" s="35"/>
      <c r="AB35" s="4">
        <v>0</v>
      </c>
      <c r="AC35" s="35"/>
      <c r="AD35" s="4">
        <v>83</v>
      </c>
      <c r="AE35" s="35"/>
      <c r="AF35" s="4">
        <f>SUM(F35:AD35)</f>
        <v>571940</v>
      </c>
    </row>
    <row r="36" spans="1:64">
      <c r="A36" s="4">
        <v>137</v>
      </c>
      <c r="B36" s="3" t="s">
        <v>86</v>
      </c>
      <c r="D36" s="3" t="s">
        <v>87</v>
      </c>
      <c r="F36" s="4">
        <v>35575</v>
      </c>
      <c r="G36" s="4"/>
      <c r="H36" s="4">
        <v>9295</v>
      </c>
      <c r="I36" s="4"/>
      <c r="J36" s="4">
        <v>19081</v>
      </c>
      <c r="K36" s="4"/>
      <c r="L36" s="4">
        <v>21098</v>
      </c>
      <c r="M36" s="4"/>
      <c r="N36" s="4">
        <v>0</v>
      </c>
      <c r="O36" s="4"/>
      <c r="P36" s="4">
        <v>5947</v>
      </c>
      <c r="Q36" s="4"/>
      <c r="R36" s="4">
        <v>1973</v>
      </c>
      <c r="S36" s="4"/>
      <c r="T36" s="4">
        <v>418</v>
      </c>
      <c r="U36" s="4"/>
      <c r="V36" s="4">
        <v>0</v>
      </c>
      <c r="W36" s="4"/>
      <c r="X36" s="4">
        <v>0</v>
      </c>
      <c r="Y36" s="4"/>
      <c r="Z36" s="4">
        <v>0</v>
      </c>
      <c r="AA36" s="4"/>
      <c r="AB36" s="4">
        <v>0</v>
      </c>
      <c r="AC36" s="4"/>
      <c r="AD36" s="4">
        <v>0</v>
      </c>
      <c r="AE36" s="4"/>
      <c r="AF36" s="4">
        <f>SUM(F36:AD36)</f>
        <v>93387</v>
      </c>
      <c r="AG36" s="51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4"/>
    </row>
    <row r="37" spans="1:64">
      <c r="A37" s="4">
        <v>110</v>
      </c>
      <c r="B37" s="3" t="s">
        <v>88</v>
      </c>
      <c r="D37" s="3" t="s">
        <v>89</v>
      </c>
      <c r="F37" s="4">
        <v>18254</v>
      </c>
      <c r="G37" s="4"/>
      <c r="H37" s="4">
        <v>0</v>
      </c>
      <c r="I37" s="4"/>
      <c r="J37" s="4">
        <v>49670</v>
      </c>
      <c r="K37" s="4"/>
      <c r="L37" s="4">
        <v>821794</v>
      </c>
      <c r="M37" s="4"/>
      <c r="N37" s="4">
        <v>76204</v>
      </c>
      <c r="O37" s="4"/>
      <c r="P37" s="4">
        <v>0</v>
      </c>
      <c r="Q37" s="4"/>
      <c r="R37" s="4">
        <v>0</v>
      </c>
      <c r="S37" s="4"/>
      <c r="T37" s="4">
        <v>7614</v>
      </c>
      <c r="U37" s="4"/>
      <c r="V37" s="4">
        <v>0</v>
      </c>
      <c r="W37" s="4"/>
      <c r="X37" s="4">
        <v>0</v>
      </c>
      <c r="Y37" s="4"/>
      <c r="Z37" s="4">
        <v>63000</v>
      </c>
      <c r="AA37" s="4"/>
      <c r="AB37" s="4">
        <v>0</v>
      </c>
      <c r="AC37" s="4"/>
      <c r="AD37" s="4">
        <v>0</v>
      </c>
      <c r="AE37" s="4"/>
      <c r="AF37" s="4">
        <f>SUM(F37:AD37)</f>
        <v>1036536</v>
      </c>
    </row>
    <row r="38" spans="1:64">
      <c r="A38" s="4">
        <v>203</v>
      </c>
      <c r="B38" s="3" t="s">
        <v>90</v>
      </c>
      <c r="D38" s="3" t="s">
        <v>45</v>
      </c>
      <c r="F38" s="4">
        <v>71642</v>
      </c>
      <c r="G38" s="4"/>
      <c r="H38" s="4">
        <v>10030</v>
      </c>
      <c r="I38" s="4"/>
      <c r="J38" s="4">
        <v>15248</v>
      </c>
      <c r="K38" s="4"/>
      <c r="L38" s="4">
        <v>30149</v>
      </c>
      <c r="M38" s="4"/>
      <c r="N38" s="4">
        <v>0</v>
      </c>
      <c r="O38" s="4"/>
      <c r="P38" s="4">
        <v>6930</v>
      </c>
      <c r="Q38" s="4"/>
      <c r="R38" s="4">
        <v>951</v>
      </c>
      <c r="S38" s="4"/>
      <c r="T38" s="4">
        <v>4901</v>
      </c>
      <c r="U38" s="4"/>
      <c r="V38" s="4">
        <v>0</v>
      </c>
      <c r="W38" s="4"/>
      <c r="X38" s="4">
        <v>0</v>
      </c>
      <c r="Y38" s="4"/>
      <c r="Z38" s="4">
        <v>22500</v>
      </c>
      <c r="AA38" s="4"/>
      <c r="AB38" s="4">
        <v>0</v>
      </c>
      <c r="AC38" s="4"/>
      <c r="AD38" s="4">
        <v>0</v>
      </c>
      <c r="AE38" s="4"/>
      <c r="AF38" s="4">
        <f>SUM(F38:AD38)</f>
        <v>162351</v>
      </c>
    </row>
    <row r="39" spans="1:64">
      <c r="A39" s="4">
        <v>74</v>
      </c>
      <c r="B39" s="3" t="s">
        <v>299</v>
      </c>
      <c r="D39" s="3" t="s">
        <v>92</v>
      </c>
      <c r="F39" s="4">
        <v>1168920</v>
      </c>
      <c r="G39" s="4"/>
      <c r="H39" s="4">
        <v>389618</v>
      </c>
      <c r="I39" s="4"/>
      <c r="J39" s="4">
        <v>181840</v>
      </c>
      <c r="K39" s="4"/>
      <c r="L39" s="4">
        <v>234896</v>
      </c>
      <c r="M39" s="4"/>
      <c r="N39" s="4">
        <v>0</v>
      </c>
      <c r="O39" s="4"/>
      <c r="P39" s="4">
        <v>43370</v>
      </c>
      <c r="Q39" s="4"/>
      <c r="R39" s="4">
        <v>6398</v>
      </c>
      <c r="S39" s="4"/>
      <c r="T39" s="4">
        <v>779</v>
      </c>
      <c r="U39" s="4"/>
      <c r="V39" s="4">
        <v>0</v>
      </c>
      <c r="W39" s="4"/>
      <c r="X39" s="4">
        <v>0</v>
      </c>
      <c r="Y39" s="4"/>
      <c r="Z39" s="4">
        <v>0</v>
      </c>
      <c r="AA39" s="4"/>
      <c r="AB39" s="4">
        <v>0</v>
      </c>
      <c r="AC39" s="4"/>
      <c r="AD39" s="4">
        <v>0</v>
      </c>
      <c r="AE39" s="4"/>
      <c r="AF39" s="4">
        <f>SUM(F39:AD39)</f>
        <v>2025821</v>
      </c>
    </row>
    <row r="40" spans="1:64">
      <c r="A40" s="4">
        <v>200</v>
      </c>
      <c r="B40" s="3" t="s">
        <v>93</v>
      </c>
      <c r="D40" s="3" t="s">
        <v>94</v>
      </c>
      <c r="F40" s="4">
        <v>1062787</v>
      </c>
      <c r="G40" s="4"/>
      <c r="H40" s="4">
        <v>310314</v>
      </c>
      <c r="I40" s="4"/>
      <c r="J40" s="4">
        <v>209966</v>
      </c>
      <c r="K40" s="4"/>
      <c r="L40" s="4">
        <v>288937</v>
      </c>
      <c r="M40" s="4"/>
      <c r="N40" s="4">
        <v>0</v>
      </c>
      <c r="O40" s="4"/>
      <c r="P40" s="4">
        <v>46821</v>
      </c>
      <c r="Q40" s="4"/>
      <c r="R40" s="4">
        <v>7135</v>
      </c>
      <c r="S40" s="4"/>
      <c r="T40" s="4">
        <v>29728</v>
      </c>
      <c r="U40" s="4"/>
      <c r="V40" s="4">
        <v>0</v>
      </c>
      <c r="W40" s="4"/>
      <c r="X40" s="4">
        <v>0</v>
      </c>
      <c r="Y40" s="4"/>
      <c r="Z40" s="4">
        <v>0</v>
      </c>
      <c r="AA40" s="4"/>
      <c r="AB40" s="4">
        <v>0</v>
      </c>
      <c r="AC40" s="4"/>
      <c r="AD40" s="4">
        <v>0</v>
      </c>
      <c r="AE40" s="4"/>
      <c r="AF40" s="4">
        <f>SUM(F40:AD40)</f>
        <v>1955688</v>
      </c>
      <c r="AG40" s="51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4"/>
    </row>
    <row r="41" spans="1:64">
      <c r="A41" s="4">
        <v>35</v>
      </c>
      <c r="B41" s="3" t="s">
        <v>95</v>
      </c>
      <c r="D41" s="3" t="s">
        <v>69</v>
      </c>
      <c r="F41" s="4">
        <v>274585</v>
      </c>
      <c r="G41" s="4"/>
      <c r="H41" s="4">
        <v>336</v>
      </c>
      <c r="I41" s="4"/>
      <c r="J41" s="4">
        <v>77927</v>
      </c>
      <c r="K41" s="4"/>
      <c r="L41" s="4">
        <v>103820</v>
      </c>
      <c r="M41" s="4"/>
      <c r="N41" s="4">
        <v>0</v>
      </c>
      <c r="O41" s="4"/>
      <c r="P41" s="4">
        <v>20755</v>
      </c>
      <c r="Q41" s="4"/>
      <c r="R41" s="4">
        <v>3935</v>
      </c>
      <c r="S41" s="4"/>
      <c r="T41" s="4">
        <v>11311</v>
      </c>
      <c r="U41" s="4"/>
      <c r="V41" s="4">
        <v>10000</v>
      </c>
      <c r="W41" s="4"/>
      <c r="X41" s="4">
        <v>1719</v>
      </c>
      <c r="Y41" s="4"/>
      <c r="Z41" s="4">
        <v>0</v>
      </c>
      <c r="AA41" s="4"/>
      <c r="AB41" s="4">
        <v>0</v>
      </c>
      <c r="AC41" s="4"/>
      <c r="AD41" s="4">
        <v>0</v>
      </c>
      <c r="AE41" s="4"/>
      <c r="AF41" s="4">
        <f>SUM(F41:AD41)</f>
        <v>504388</v>
      </c>
      <c r="AG41" s="51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4"/>
    </row>
    <row r="42" spans="1:64" s="11" customFormat="1" ht="12.75">
      <c r="A42" s="4">
        <v>204</v>
      </c>
      <c r="B42" s="3" t="s">
        <v>96</v>
      </c>
      <c r="C42" s="3"/>
      <c r="D42" s="3" t="s">
        <v>45</v>
      </c>
      <c r="E42" s="3"/>
      <c r="F42" s="4">
        <v>69022</v>
      </c>
      <c r="G42" s="4"/>
      <c r="H42" s="4">
        <v>11118</v>
      </c>
      <c r="I42" s="4"/>
      <c r="J42" s="4">
        <v>17347</v>
      </c>
      <c r="K42" s="4"/>
      <c r="L42" s="4">
        <v>29398</v>
      </c>
      <c r="M42" s="4"/>
      <c r="N42" s="4">
        <v>0</v>
      </c>
      <c r="O42" s="4"/>
      <c r="P42" s="4">
        <v>6624</v>
      </c>
      <c r="Q42" s="4"/>
      <c r="R42" s="4">
        <v>8819</v>
      </c>
      <c r="S42" s="4"/>
      <c r="T42" s="4">
        <v>0</v>
      </c>
      <c r="U42" s="4"/>
      <c r="V42" s="4">
        <v>0</v>
      </c>
      <c r="W42" s="4"/>
      <c r="X42" s="4">
        <v>0</v>
      </c>
      <c r="Y42" s="4"/>
      <c r="Z42" s="4">
        <v>21491</v>
      </c>
      <c r="AA42" s="4"/>
      <c r="AB42" s="4">
        <v>0</v>
      </c>
      <c r="AC42" s="4"/>
      <c r="AD42" s="4">
        <v>0</v>
      </c>
      <c r="AE42" s="4"/>
      <c r="AF42" s="4">
        <f>SUM(F42:AD42)</f>
        <v>163819</v>
      </c>
      <c r="AG42" s="9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>
      <c r="A43" s="4">
        <v>3</v>
      </c>
      <c r="B43" s="3" t="s">
        <v>300</v>
      </c>
      <c r="D43" s="3" t="s">
        <v>97</v>
      </c>
      <c r="F43" s="4">
        <v>182725</v>
      </c>
      <c r="G43" s="4"/>
      <c r="H43" s="4">
        <v>46317</v>
      </c>
      <c r="I43" s="4"/>
      <c r="J43" s="4">
        <v>83712</v>
      </c>
      <c r="K43" s="4"/>
      <c r="L43" s="4">
        <v>53293</v>
      </c>
      <c r="M43" s="4"/>
      <c r="N43" s="4">
        <v>0</v>
      </c>
      <c r="O43" s="4"/>
      <c r="P43" s="4">
        <v>9597</v>
      </c>
      <c r="Q43" s="4"/>
      <c r="R43" s="4">
        <v>4559</v>
      </c>
      <c r="S43" s="4"/>
      <c r="T43" s="4">
        <v>0</v>
      </c>
      <c r="U43" s="4"/>
      <c r="V43" s="4">
        <v>0</v>
      </c>
      <c r="W43" s="4"/>
      <c r="X43" s="4">
        <v>0</v>
      </c>
      <c r="Y43" s="4"/>
      <c r="Z43" s="4">
        <v>0</v>
      </c>
      <c r="AA43" s="4"/>
      <c r="AB43" s="4">
        <v>0</v>
      </c>
      <c r="AC43" s="4"/>
      <c r="AD43" s="4">
        <v>0</v>
      </c>
      <c r="AE43" s="4"/>
      <c r="AF43" s="4">
        <f>SUM(F43:AD43)</f>
        <v>380203</v>
      </c>
      <c r="AG43" s="51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4"/>
    </row>
    <row r="44" spans="1:64">
      <c r="A44" s="4">
        <v>101</v>
      </c>
      <c r="B44" s="35" t="s">
        <v>98</v>
      </c>
      <c r="C44" s="35"/>
      <c r="D44" s="35" t="s">
        <v>485</v>
      </c>
      <c r="E44" s="35"/>
      <c r="F44" s="4">
        <v>110296</v>
      </c>
      <c r="G44" s="35"/>
      <c r="H44" s="4">
        <v>26087</v>
      </c>
      <c r="I44" s="35"/>
      <c r="J44" s="4">
        <v>47354</v>
      </c>
      <c r="K44" s="35"/>
      <c r="L44" s="4">
        <v>34635</v>
      </c>
      <c r="M44" s="35"/>
      <c r="N44" s="4">
        <v>0</v>
      </c>
      <c r="O44" s="35"/>
      <c r="P44" s="4">
        <v>6862</v>
      </c>
      <c r="Q44" s="35"/>
      <c r="R44" s="4">
        <v>730</v>
      </c>
      <c r="S44" s="35"/>
      <c r="T44" s="4">
        <v>13650</v>
      </c>
      <c r="U44" s="35"/>
      <c r="V44" s="4">
        <v>0</v>
      </c>
      <c r="W44" s="35"/>
      <c r="X44" s="4">
        <v>0</v>
      </c>
      <c r="Y44" s="35"/>
      <c r="Z44" s="4">
        <v>420</v>
      </c>
      <c r="AA44" s="35"/>
      <c r="AB44" s="4">
        <v>0</v>
      </c>
      <c r="AC44" s="35"/>
      <c r="AD44" s="4">
        <v>0</v>
      </c>
      <c r="AE44" s="35"/>
      <c r="AF44" s="4">
        <f>SUM(F44:AD44)</f>
        <v>240034</v>
      </c>
      <c r="AG44" s="51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4"/>
    </row>
    <row r="45" spans="1:64">
      <c r="A45" s="4">
        <v>162</v>
      </c>
      <c r="B45" s="3" t="s">
        <v>99</v>
      </c>
      <c r="D45" s="3" t="s">
        <v>53</v>
      </c>
      <c r="F45" s="4">
        <v>104817</v>
      </c>
      <c r="G45" s="4"/>
      <c r="H45" s="4">
        <v>20194</v>
      </c>
      <c r="I45" s="4"/>
      <c r="J45" s="4">
        <v>35769</v>
      </c>
      <c r="K45" s="4"/>
      <c r="L45" s="4">
        <v>23603</v>
      </c>
      <c r="M45" s="4"/>
      <c r="N45" s="4">
        <v>0</v>
      </c>
      <c r="O45" s="4"/>
      <c r="P45" s="4">
        <v>4250</v>
      </c>
      <c r="Q45" s="4"/>
      <c r="R45" s="4">
        <v>2343</v>
      </c>
      <c r="S45" s="4"/>
      <c r="T45" s="4">
        <v>8495</v>
      </c>
      <c r="U45" s="4"/>
      <c r="V45" s="4">
        <v>0</v>
      </c>
      <c r="W45" s="4"/>
      <c r="X45" s="4">
        <v>0</v>
      </c>
      <c r="Y45" s="4"/>
      <c r="Z45" s="4">
        <v>0</v>
      </c>
      <c r="AA45" s="4"/>
      <c r="AB45" s="4">
        <v>0</v>
      </c>
      <c r="AC45" s="4"/>
      <c r="AD45" s="4">
        <v>0</v>
      </c>
      <c r="AE45" s="4"/>
      <c r="AF45" s="4">
        <f>SUM(F45:AD45)</f>
        <v>199471</v>
      </c>
    </row>
    <row r="46" spans="1:64">
      <c r="A46" s="39">
        <v>130.1</v>
      </c>
      <c r="B46" s="3" t="s">
        <v>583</v>
      </c>
      <c r="D46" s="3" t="s">
        <v>584</v>
      </c>
      <c r="F46" s="4">
        <v>1322033</v>
      </c>
      <c r="G46" s="4"/>
      <c r="H46" s="4">
        <v>522416</v>
      </c>
      <c r="I46" s="4"/>
      <c r="J46" s="4">
        <v>248652</v>
      </c>
      <c r="K46" s="4"/>
      <c r="L46" s="4">
        <v>199692</v>
      </c>
      <c r="M46" s="4"/>
      <c r="N46" s="4">
        <v>0</v>
      </c>
      <c r="O46" s="4"/>
      <c r="P46" s="4">
        <v>62386</v>
      </c>
      <c r="Q46" s="4"/>
      <c r="R46" s="4">
        <v>2625</v>
      </c>
      <c r="S46" s="4"/>
      <c r="T46" s="4">
        <v>56551</v>
      </c>
      <c r="U46" s="4"/>
      <c r="V46" s="4">
        <v>0</v>
      </c>
      <c r="W46" s="4"/>
      <c r="X46" s="4">
        <v>0</v>
      </c>
      <c r="Y46" s="4"/>
      <c r="Z46" s="4">
        <v>0</v>
      </c>
      <c r="AA46" s="4"/>
      <c r="AB46" s="4">
        <v>0</v>
      </c>
      <c r="AC46" s="4"/>
      <c r="AD46" s="4">
        <v>0</v>
      </c>
      <c r="AE46" s="4"/>
      <c r="AF46" s="4">
        <f>SUM(F46:AD46)</f>
        <v>2414355</v>
      </c>
      <c r="AR46" s="3">
        <v>8684.6</v>
      </c>
    </row>
    <row r="47" spans="1:64">
      <c r="A47" s="4">
        <v>223</v>
      </c>
      <c r="B47" s="3" t="s">
        <v>100</v>
      </c>
      <c r="D47" s="3" t="s">
        <v>56</v>
      </c>
      <c r="F47" s="4">
        <v>220255</v>
      </c>
      <c r="G47" s="4"/>
      <c r="H47" s="4">
        <v>58755</v>
      </c>
      <c r="I47" s="4"/>
      <c r="J47" s="4">
        <v>46372</v>
      </c>
      <c r="K47" s="4"/>
      <c r="L47" s="4">
        <v>133446</v>
      </c>
      <c r="M47" s="4"/>
      <c r="N47" s="4">
        <v>0</v>
      </c>
      <c r="O47" s="4"/>
      <c r="P47" s="4">
        <v>10972</v>
      </c>
      <c r="Q47" s="4"/>
      <c r="R47" s="4">
        <v>10444</v>
      </c>
      <c r="S47" s="4"/>
      <c r="T47" s="4">
        <v>3376</v>
      </c>
      <c r="U47" s="4"/>
      <c r="V47" s="4">
        <v>0</v>
      </c>
      <c r="W47" s="4"/>
      <c r="X47" s="4">
        <v>0</v>
      </c>
      <c r="Y47" s="4"/>
      <c r="Z47" s="4">
        <v>0</v>
      </c>
      <c r="AA47" s="4"/>
      <c r="AB47" s="4">
        <v>0</v>
      </c>
      <c r="AC47" s="4"/>
      <c r="AD47" s="4">
        <v>0</v>
      </c>
      <c r="AE47" s="4"/>
      <c r="AF47" s="4">
        <f>SUM(F47:AD47)</f>
        <v>483620</v>
      </c>
    </row>
    <row r="48" spans="1:64">
      <c r="A48" s="4">
        <v>23</v>
      </c>
      <c r="B48" s="35" t="s">
        <v>475</v>
      </c>
      <c r="C48" s="35"/>
      <c r="D48" s="35" t="s">
        <v>476</v>
      </c>
      <c r="E48" s="35"/>
      <c r="F48" s="4">
        <v>412562</v>
      </c>
      <c r="G48" s="35"/>
      <c r="H48" s="4">
        <v>85543</v>
      </c>
      <c r="I48" s="35"/>
      <c r="J48" s="4">
        <v>183990</v>
      </c>
      <c r="K48" s="35"/>
      <c r="L48" s="4">
        <v>146631</v>
      </c>
      <c r="M48" s="35"/>
      <c r="N48" s="4">
        <v>0</v>
      </c>
      <c r="O48" s="35"/>
      <c r="P48" s="4">
        <v>16350</v>
      </c>
      <c r="Q48" s="35"/>
      <c r="R48" s="4">
        <v>4603</v>
      </c>
      <c r="S48" s="35"/>
      <c r="T48" s="4">
        <v>2987</v>
      </c>
      <c r="U48" s="35"/>
      <c r="V48" s="4">
        <v>0</v>
      </c>
      <c r="W48" s="35"/>
      <c r="X48" s="4">
        <v>0</v>
      </c>
      <c r="Y48" s="35"/>
      <c r="Z48" s="4">
        <v>0</v>
      </c>
      <c r="AA48" s="35"/>
      <c r="AB48" s="4">
        <v>0</v>
      </c>
      <c r="AC48" s="35"/>
      <c r="AD48" s="4">
        <v>264</v>
      </c>
      <c r="AE48" s="35"/>
      <c r="AF48" s="4">
        <f>SUM(F48:AD48)</f>
        <v>852930</v>
      </c>
      <c r="AG48" s="51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4"/>
    </row>
    <row r="49" spans="1:64">
      <c r="A49" s="4">
        <v>194</v>
      </c>
      <c r="B49" s="3" t="s">
        <v>101</v>
      </c>
      <c r="D49" s="3" t="s">
        <v>102</v>
      </c>
      <c r="F49" s="4">
        <v>77323</v>
      </c>
      <c r="G49" s="4"/>
      <c r="H49" s="4">
        <v>12764</v>
      </c>
      <c r="I49" s="4"/>
      <c r="J49" s="4">
        <v>37254</v>
      </c>
      <c r="K49" s="4"/>
      <c r="L49" s="4">
        <v>9885</v>
      </c>
      <c r="M49" s="4"/>
      <c r="N49" s="4">
        <v>0</v>
      </c>
      <c r="O49" s="4"/>
      <c r="P49" s="4">
        <v>3735</v>
      </c>
      <c r="Q49" s="4"/>
      <c r="R49" s="4">
        <v>1034</v>
      </c>
      <c r="S49" s="4"/>
      <c r="T49" s="4">
        <v>840</v>
      </c>
      <c r="U49" s="4"/>
      <c r="V49" s="4">
        <v>0</v>
      </c>
      <c r="W49" s="4"/>
      <c r="X49" s="4">
        <v>0</v>
      </c>
      <c r="Y49" s="4"/>
      <c r="Z49" s="4">
        <v>0</v>
      </c>
      <c r="AA49" s="4"/>
      <c r="AB49" s="4">
        <v>0</v>
      </c>
      <c r="AC49" s="4"/>
      <c r="AD49" s="4">
        <v>0</v>
      </c>
      <c r="AE49" s="4"/>
      <c r="AF49" s="4">
        <f>SUM(F49:AD49)</f>
        <v>142835</v>
      </c>
    </row>
    <row r="50" spans="1:64">
      <c r="A50" s="4">
        <v>46</v>
      </c>
      <c r="B50" s="3" t="s">
        <v>103</v>
      </c>
      <c r="D50" s="3" t="s">
        <v>52</v>
      </c>
      <c r="F50" s="4">
        <v>341897</v>
      </c>
      <c r="G50" s="4"/>
      <c r="H50" s="4">
        <v>0</v>
      </c>
      <c r="I50" s="4"/>
      <c r="J50" s="4">
        <v>162548</v>
      </c>
      <c r="K50" s="4"/>
      <c r="L50" s="4">
        <v>73901</v>
      </c>
      <c r="M50" s="4"/>
      <c r="N50" s="4">
        <v>0</v>
      </c>
      <c r="O50" s="4"/>
      <c r="P50" s="4">
        <v>22429</v>
      </c>
      <c r="Q50" s="4"/>
      <c r="R50" s="4">
        <v>3394</v>
      </c>
      <c r="S50" s="4"/>
      <c r="T50" s="4">
        <v>6697</v>
      </c>
      <c r="U50" s="4"/>
      <c r="V50" s="4">
        <v>0</v>
      </c>
      <c r="W50" s="4"/>
      <c r="X50" s="4">
        <v>0</v>
      </c>
      <c r="Y50" s="4"/>
      <c r="Z50" s="4">
        <v>403279</v>
      </c>
      <c r="AA50" s="4"/>
      <c r="AB50" s="4">
        <v>0</v>
      </c>
      <c r="AC50" s="4"/>
      <c r="AD50" s="4">
        <v>0</v>
      </c>
      <c r="AE50" s="4"/>
      <c r="AF50" s="4">
        <f>SUM(F50:AD50)</f>
        <v>1014145</v>
      </c>
      <c r="AG50" s="51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4"/>
    </row>
    <row r="51" spans="1:64">
      <c r="A51" s="4">
        <v>89</v>
      </c>
      <c r="B51" s="3" t="s">
        <v>104</v>
      </c>
      <c r="D51" s="3" t="s">
        <v>17</v>
      </c>
      <c r="F51" s="4">
        <v>402605</v>
      </c>
      <c r="G51" s="4"/>
      <c r="H51" s="4">
        <v>91574</v>
      </c>
      <c r="I51" s="4"/>
      <c r="J51" s="4">
        <v>142577</v>
      </c>
      <c r="K51" s="4"/>
      <c r="L51" s="4">
        <v>111183</v>
      </c>
      <c r="M51" s="4"/>
      <c r="N51" s="4">
        <v>0</v>
      </c>
      <c r="O51" s="4"/>
      <c r="P51" s="4">
        <v>22302</v>
      </c>
      <c r="Q51" s="4"/>
      <c r="R51" s="4">
        <v>9388</v>
      </c>
      <c r="S51" s="4"/>
      <c r="T51" s="4">
        <v>21211</v>
      </c>
      <c r="U51" s="4"/>
      <c r="V51" s="4">
        <v>0</v>
      </c>
      <c r="W51" s="4"/>
      <c r="X51" s="4">
        <v>0</v>
      </c>
      <c r="Y51" s="4"/>
      <c r="Z51" s="4">
        <v>0</v>
      </c>
      <c r="AA51" s="4"/>
      <c r="AB51" s="4">
        <v>0</v>
      </c>
      <c r="AC51" s="4"/>
      <c r="AD51" s="4">
        <v>0</v>
      </c>
      <c r="AE51" s="4"/>
      <c r="AF51" s="4">
        <f>SUM(F51:AD51)</f>
        <v>800840</v>
      </c>
    </row>
    <row r="52" spans="1:64">
      <c r="A52" s="4">
        <v>179</v>
      </c>
      <c r="B52" s="3" t="s">
        <v>105</v>
      </c>
      <c r="D52" s="3" t="s">
        <v>106</v>
      </c>
      <c r="F52" s="4">
        <v>244864</v>
      </c>
      <c r="G52" s="4"/>
      <c r="H52" s="4">
        <v>66585</v>
      </c>
      <c r="I52" s="4"/>
      <c r="J52" s="4">
        <v>82751</v>
      </c>
      <c r="K52" s="4"/>
      <c r="L52" s="4">
        <v>83127</v>
      </c>
      <c r="M52" s="4"/>
      <c r="N52" s="4">
        <v>0</v>
      </c>
      <c r="O52" s="4"/>
      <c r="P52" s="4">
        <v>7609</v>
      </c>
      <c r="Q52" s="4"/>
      <c r="R52" s="4">
        <v>1629</v>
      </c>
      <c r="S52" s="4"/>
      <c r="T52" s="4">
        <v>11139</v>
      </c>
      <c r="U52" s="4"/>
      <c r="V52" s="4">
        <v>0</v>
      </c>
      <c r="W52" s="4"/>
      <c r="X52" s="4">
        <v>0</v>
      </c>
      <c r="Y52" s="4"/>
      <c r="Z52" s="4">
        <v>0</v>
      </c>
      <c r="AA52" s="4"/>
      <c r="AB52" s="4">
        <v>0</v>
      </c>
      <c r="AC52" s="4"/>
      <c r="AD52" s="4">
        <v>100</v>
      </c>
      <c r="AE52" s="4"/>
      <c r="AF52" s="4">
        <f>SUM(F52:AD52)</f>
        <v>497804</v>
      </c>
      <c r="AR52" s="3">
        <v>414.65</v>
      </c>
    </row>
    <row r="53" spans="1:64">
      <c r="A53" s="4">
        <v>209</v>
      </c>
      <c r="B53" s="3" t="s">
        <v>107</v>
      </c>
      <c r="D53" s="3" t="s">
        <v>25</v>
      </c>
      <c r="F53" s="4">
        <v>400807</v>
      </c>
      <c r="G53" s="4"/>
      <c r="H53" s="4">
        <v>99666</v>
      </c>
      <c r="I53" s="4"/>
      <c r="J53" s="4">
        <v>141566</v>
      </c>
      <c r="K53" s="4"/>
      <c r="L53" s="4">
        <v>171951</v>
      </c>
      <c r="M53" s="4"/>
      <c r="N53" s="4">
        <v>0</v>
      </c>
      <c r="O53" s="4"/>
      <c r="P53" s="4">
        <v>16839</v>
      </c>
      <c r="Q53" s="4"/>
      <c r="R53" s="4">
        <v>3155</v>
      </c>
      <c r="S53" s="4"/>
      <c r="T53" s="4">
        <v>23245</v>
      </c>
      <c r="U53" s="4"/>
      <c r="V53" s="4">
        <v>0</v>
      </c>
      <c r="W53" s="4"/>
      <c r="X53" s="4">
        <v>0</v>
      </c>
      <c r="Y53" s="4"/>
      <c r="Z53" s="4">
        <v>0</v>
      </c>
      <c r="AA53" s="4"/>
      <c r="AB53" s="4">
        <v>0</v>
      </c>
      <c r="AC53" s="4"/>
      <c r="AD53" s="4">
        <v>114</v>
      </c>
      <c r="AE53" s="4"/>
      <c r="AF53" s="4">
        <f>SUM(F53:AD53)</f>
        <v>857343</v>
      </c>
    </row>
    <row r="54" spans="1:64">
      <c r="A54" s="4">
        <v>174</v>
      </c>
      <c r="B54" s="3" t="s">
        <v>108</v>
      </c>
      <c r="D54" s="3" t="s">
        <v>68</v>
      </c>
      <c r="F54" s="4">
        <v>146277</v>
      </c>
      <c r="G54" s="4"/>
      <c r="H54" s="4">
        <v>24729</v>
      </c>
      <c r="I54" s="4"/>
      <c r="J54" s="4">
        <v>46529</v>
      </c>
      <c r="K54" s="4"/>
      <c r="L54" s="4">
        <v>38533</v>
      </c>
      <c r="M54" s="4"/>
      <c r="N54" s="4">
        <v>0</v>
      </c>
      <c r="O54" s="4"/>
      <c r="P54" s="4">
        <v>9186</v>
      </c>
      <c r="Q54" s="4"/>
      <c r="R54" s="4">
        <v>3019</v>
      </c>
      <c r="S54" s="4"/>
      <c r="T54" s="4">
        <v>12090</v>
      </c>
      <c r="U54" s="4"/>
      <c r="V54" s="4">
        <v>0</v>
      </c>
      <c r="W54" s="4"/>
      <c r="X54" s="4">
        <v>0</v>
      </c>
      <c r="Y54" s="4"/>
      <c r="Z54" s="4">
        <v>0</v>
      </c>
      <c r="AA54" s="4"/>
      <c r="AB54" s="4">
        <v>0</v>
      </c>
      <c r="AC54" s="4"/>
      <c r="AD54" s="4">
        <v>0</v>
      </c>
      <c r="AE54" s="4"/>
      <c r="AF54" s="4">
        <f>SUM(F54:AD54)</f>
        <v>280363</v>
      </c>
    </row>
    <row r="55" spans="1:64">
      <c r="A55" s="4">
        <v>73</v>
      </c>
      <c r="B55" s="3" t="s">
        <v>109</v>
      </c>
      <c r="D55" s="3" t="s">
        <v>110</v>
      </c>
      <c r="F55" s="4">
        <f>341779+16913+93685</f>
        <v>452377</v>
      </c>
      <c r="G55" s="4"/>
      <c r="H55" s="4">
        <v>0</v>
      </c>
      <c r="I55" s="4"/>
      <c r="J55" s="4">
        <v>0</v>
      </c>
      <c r="K55" s="4"/>
      <c r="L55" s="4">
        <v>432004</v>
      </c>
      <c r="M55" s="4"/>
      <c r="N55" s="4">
        <v>107801</v>
      </c>
      <c r="O55" s="4"/>
      <c r="P55" s="4">
        <v>0</v>
      </c>
      <c r="Q55" s="4"/>
      <c r="R55" s="4">
        <v>0</v>
      </c>
      <c r="S55" s="4"/>
      <c r="T55" s="4">
        <v>96769</v>
      </c>
      <c r="U55" s="4"/>
      <c r="V55" s="4">
        <v>0</v>
      </c>
      <c r="W55" s="4"/>
      <c r="X55" s="4">
        <v>0</v>
      </c>
      <c r="Y55" s="4"/>
      <c r="Z55" s="4">
        <v>0</v>
      </c>
      <c r="AA55" s="4"/>
      <c r="AB55" s="4">
        <v>0</v>
      </c>
      <c r="AC55" s="4"/>
      <c r="AD55" s="4">
        <v>0</v>
      </c>
      <c r="AE55" s="4"/>
      <c r="AF55" s="4">
        <f>SUM(F55:AD55)</f>
        <v>1088951</v>
      </c>
      <c r="AG55" s="51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4"/>
    </row>
    <row r="56" spans="1:64">
      <c r="A56" s="4">
        <v>27</v>
      </c>
      <c r="B56" s="35" t="s">
        <v>596</v>
      </c>
      <c r="C56" s="35"/>
      <c r="D56" s="35" t="s">
        <v>477</v>
      </c>
      <c r="E56" s="35"/>
      <c r="F56" s="4">
        <v>408493</v>
      </c>
      <c r="G56" s="35"/>
      <c r="H56" s="4">
        <v>139708</v>
      </c>
      <c r="I56" s="35"/>
      <c r="J56" s="4">
        <v>83675</v>
      </c>
      <c r="K56" s="35"/>
      <c r="L56" s="4">
        <v>104731</v>
      </c>
      <c r="M56" s="35"/>
      <c r="N56" s="4">
        <v>0</v>
      </c>
      <c r="O56" s="35"/>
      <c r="P56" s="4">
        <v>30108</v>
      </c>
      <c r="Q56" s="35"/>
      <c r="R56" s="4">
        <v>18658</v>
      </c>
      <c r="S56" s="35"/>
      <c r="T56" s="4">
        <v>54724</v>
      </c>
      <c r="U56" s="35"/>
      <c r="V56" s="4">
        <v>0</v>
      </c>
      <c r="W56" s="35"/>
      <c r="X56" s="4">
        <v>0</v>
      </c>
      <c r="Y56" s="35"/>
      <c r="Z56" s="4">
        <v>0</v>
      </c>
      <c r="AA56" s="35"/>
      <c r="AB56" s="4">
        <v>0</v>
      </c>
      <c r="AC56" s="35"/>
      <c r="AD56" s="4">
        <v>17</v>
      </c>
      <c r="AE56" s="35"/>
      <c r="AF56" s="4">
        <f>SUM(F56:AD56)</f>
        <v>840114</v>
      </c>
    </row>
    <row r="57" spans="1:64">
      <c r="A57" s="4">
        <v>121</v>
      </c>
      <c r="B57" s="3" t="s">
        <v>111</v>
      </c>
      <c r="D57" s="3" t="s">
        <v>16</v>
      </c>
      <c r="F57" s="4">
        <v>112226</v>
      </c>
      <c r="G57" s="4"/>
      <c r="H57" s="4">
        <v>18987</v>
      </c>
      <c r="I57" s="4"/>
      <c r="J57" s="4">
        <v>18649</v>
      </c>
      <c r="K57" s="4"/>
      <c r="L57" s="4">
        <v>41706</v>
      </c>
      <c r="M57" s="4"/>
      <c r="N57" s="4">
        <v>0</v>
      </c>
      <c r="O57" s="4"/>
      <c r="P57" s="4">
        <v>8625</v>
      </c>
      <c r="Q57" s="4"/>
      <c r="R57" s="4">
        <v>2325</v>
      </c>
      <c r="S57" s="4"/>
      <c r="T57" s="4">
        <v>5544</v>
      </c>
      <c r="U57" s="4"/>
      <c r="V57" s="4">
        <v>0</v>
      </c>
      <c r="W57" s="4"/>
      <c r="X57" s="4">
        <v>0</v>
      </c>
      <c r="Y57" s="4"/>
      <c r="Z57" s="4">
        <v>0</v>
      </c>
      <c r="AA57" s="4"/>
      <c r="AB57" s="4">
        <v>0</v>
      </c>
      <c r="AC57" s="4"/>
      <c r="AD57" s="4">
        <v>0</v>
      </c>
      <c r="AE57" s="4"/>
      <c r="AF57" s="4">
        <f>SUM(F57:AD57)</f>
        <v>208062</v>
      </c>
    </row>
    <row r="58" spans="1:64">
      <c r="A58" s="4">
        <v>28</v>
      </c>
      <c r="B58" s="3" t="s">
        <v>597</v>
      </c>
      <c r="D58" s="3" t="s">
        <v>62</v>
      </c>
      <c r="F58" s="4">
        <v>488270</v>
      </c>
      <c r="G58" s="4"/>
      <c r="H58" s="4">
        <v>115763</v>
      </c>
      <c r="I58" s="4"/>
      <c r="J58" s="4">
        <v>157095</v>
      </c>
      <c r="K58" s="4"/>
      <c r="L58" s="4">
        <v>141552</v>
      </c>
      <c r="M58" s="4"/>
      <c r="N58" s="4">
        <v>0</v>
      </c>
      <c r="O58" s="4"/>
      <c r="P58" s="4">
        <v>28004</v>
      </c>
      <c r="Q58" s="4"/>
      <c r="R58" s="4">
        <v>5467</v>
      </c>
      <c r="S58" s="4"/>
      <c r="T58" s="4">
        <v>4920</v>
      </c>
      <c r="U58" s="4"/>
      <c r="V58" s="4">
        <v>0</v>
      </c>
      <c r="W58" s="4"/>
      <c r="X58" s="4">
        <v>0</v>
      </c>
      <c r="Y58" s="4"/>
      <c r="Z58" s="4">
        <v>0</v>
      </c>
      <c r="AA58" s="4"/>
      <c r="AB58" s="4">
        <v>0</v>
      </c>
      <c r="AC58" s="4"/>
      <c r="AD58" s="4">
        <v>0</v>
      </c>
      <c r="AE58" s="4"/>
      <c r="AF58" s="4">
        <f>SUM(F58:AD58)</f>
        <v>941071</v>
      </c>
    </row>
    <row r="59" spans="1:64">
      <c r="A59" s="4">
        <v>199</v>
      </c>
      <c r="B59" s="35" t="s">
        <v>573</v>
      </c>
      <c r="C59" s="35"/>
      <c r="D59" s="35" t="s">
        <v>504</v>
      </c>
      <c r="E59" s="35"/>
      <c r="F59" s="4">
        <v>1423007</v>
      </c>
      <c r="G59" s="35"/>
      <c r="H59" s="4">
        <v>505019</v>
      </c>
      <c r="I59" s="35"/>
      <c r="J59" s="4">
        <v>436420</v>
      </c>
      <c r="K59" s="35"/>
      <c r="L59" s="4">
        <v>356457</v>
      </c>
      <c r="M59" s="35"/>
      <c r="N59" s="4">
        <v>0</v>
      </c>
      <c r="O59" s="35"/>
      <c r="P59" s="4">
        <v>86217</v>
      </c>
      <c r="Q59" s="35"/>
      <c r="R59" s="4">
        <v>9800</v>
      </c>
      <c r="S59" s="35"/>
      <c r="T59" s="4">
        <v>84752</v>
      </c>
      <c r="U59" s="35"/>
      <c r="V59" s="4">
        <v>0</v>
      </c>
      <c r="W59" s="35"/>
      <c r="X59" s="4">
        <v>0</v>
      </c>
      <c r="Y59" s="35"/>
      <c r="Z59" s="4">
        <v>0</v>
      </c>
      <c r="AA59" s="35"/>
      <c r="AB59" s="4">
        <v>0</v>
      </c>
      <c r="AC59" s="35"/>
      <c r="AD59" s="4">
        <v>0</v>
      </c>
      <c r="AE59" s="35"/>
      <c r="AF59" s="4">
        <f>SUM(F59:AD59)</f>
        <v>2901672</v>
      </c>
    </row>
    <row r="60" spans="1:64">
      <c r="A60" s="4">
        <v>32</v>
      </c>
      <c r="B60" s="3" t="s">
        <v>113</v>
      </c>
      <c r="D60" s="3" t="s">
        <v>114</v>
      </c>
      <c r="F60" s="4">
        <v>2514609</v>
      </c>
      <c r="G60" s="4"/>
      <c r="H60" s="4">
        <v>999780</v>
      </c>
      <c r="I60" s="4"/>
      <c r="J60" s="4">
        <v>1086865</v>
      </c>
      <c r="K60" s="4"/>
      <c r="L60" s="4">
        <v>1183439</v>
      </c>
      <c r="M60" s="4"/>
      <c r="N60" s="4">
        <v>0</v>
      </c>
      <c r="O60" s="4"/>
      <c r="P60" s="4">
        <v>181906</v>
      </c>
      <c r="Q60" s="4"/>
      <c r="R60" s="4">
        <v>21649</v>
      </c>
      <c r="S60" s="4"/>
      <c r="T60" s="4">
        <v>204584</v>
      </c>
      <c r="U60" s="4"/>
      <c r="V60" s="4">
        <v>0</v>
      </c>
      <c r="W60" s="4"/>
      <c r="X60" s="4">
        <v>0</v>
      </c>
      <c r="Y60" s="4"/>
      <c r="Z60" s="4">
        <v>0</v>
      </c>
      <c r="AA60" s="4"/>
      <c r="AB60" s="4">
        <v>0</v>
      </c>
      <c r="AC60" s="4"/>
      <c r="AD60" s="4">
        <v>0</v>
      </c>
      <c r="AE60" s="4"/>
      <c r="AF60" s="4">
        <f>SUM(F60:AD60)</f>
        <v>6192832</v>
      </c>
    </row>
    <row r="61" spans="1:64">
      <c r="A61" s="4">
        <v>231</v>
      </c>
      <c r="B61" s="35" t="s">
        <v>301</v>
      </c>
      <c r="C61" s="35"/>
      <c r="D61" s="35" t="s">
        <v>501</v>
      </c>
      <c r="E61" s="35"/>
      <c r="F61" s="4">
        <v>245639</v>
      </c>
      <c r="G61" s="35"/>
      <c r="H61" s="4">
        <v>56408</v>
      </c>
      <c r="I61" s="35"/>
      <c r="J61" s="4">
        <v>50075</v>
      </c>
      <c r="K61" s="35"/>
      <c r="L61" s="4">
        <v>94203</v>
      </c>
      <c r="M61" s="35"/>
      <c r="N61" s="4">
        <v>0</v>
      </c>
      <c r="O61" s="35"/>
      <c r="P61" s="4">
        <v>14080</v>
      </c>
      <c r="Q61" s="35"/>
      <c r="R61" s="4">
        <v>4908</v>
      </c>
      <c r="S61" s="35"/>
      <c r="T61" s="4">
        <v>80</v>
      </c>
      <c r="U61" s="35"/>
      <c r="V61" s="4">
        <v>0</v>
      </c>
      <c r="W61" s="35"/>
      <c r="X61" s="4">
        <v>0</v>
      </c>
      <c r="Y61" s="35"/>
      <c r="Z61" s="4">
        <v>0</v>
      </c>
      <c r="AA61" s="35"/>
      <c r="AB61" s="4">
        <v>0</v>
      </c>
      <c r="AC61" s="35"/>
      <c r="AD61" s="4">
        <v>0</v>
      </c>
      <c r="AE61" s="35"/>
      <c r="AF61" s="4">
        <f>SUM(F61:AD61)</f>
        <v>465393</v>
      </c>
      <c r="AG61" s="51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4"/>
    </row>
    <row r="62" spans="1:64">
      <c r="A62" s="4">
        <v>34</v>
      </c>
      <c r="B62" s="3" t="s">
        <v>115</v>
      </c>
      <c r="D62" s="3" t="s">
        <v>116</v>
      </c>
      <c r="F62" s="4">
        <f>1010767+920741+556046+1</f>
        <v>2487555</v>
      </c>
      <c r="G62" s="4"/>
      <c r="H62" s="4">
        <v>0</v>
      </c>
      <c r="I62" s="4"/>
      <c r="J62" s="4">
        <v>0</v>
      </c>
      <c r="K62" s="4"/>
      <c r="L62" s="4">
        <f>3142375+1218739</f>
        <v>4361114</v>
      </c>
      <c r="M62" s="4"/>
      <c r="N62" s="4">
        <v>0</v>
      </c>
      <c r="O62" s="4"/>
      <c r="P62" s="4">
        <v>0</v>
      </c>
      <c r="Q62" s="4"/>
      <c r="R62" s="4">
        <v>0</v>
      </c>
      <c r="S62" s="4"/>
      <c r="T62" s="4">
        <v>0</v>
      </c>
      <c r="U62" s="4"/>
      <c r="V62" s="4">
        <v>0</v>
      </c>
      <c r="W62" s="4"/>
      <c r="X62" s="4">
        <v>0</v>
      </c>
      <c r="Y62" s="4"/>
      <c r="Z62" s="4">
        <v>584150</v>
      </c>
      <c r="AA62" s="4"/>
      <c r="AB62" s="4">
        <v>0</v>
      </c>
      <c r="AC62" s="4"/>
      <c r="AD62" s="4">
        <v>8523</v>
      </c>
      <c r="AE62" s="4"/>
      <c r="AF62" s="4">
        <f>SUM(F62:AD62)</f>
        <v>7441342</v>
      </c>
    </row>
    <row r="63" spans="1:64">
      <c r="A63" s="4">
        <v>49</v>
      </c>
      <c r="B63" s="3" t="s">
        <v>427</v>
      </c>
      <c r="D63" s="3" t="s">
        <v>19</v>
      </c>
      <c r="F63" s="4">
        <v>1434835</v>
      </c>
      <c r="G63" s="4"/>
      <c r="H63" s="4">
        <v>0</v>
      </c>
      <c r="I63" s="4"/>
      <c r="J63" s="4">
        <v>0</v>
      </c>
      <c r="K63" s="4"/>
      <c r="L63" s="4">
        <v>6423265</v>
      </c>
      <c r="M63" s="4"/>
      <c r="N63" s="4">
        <v>0</v>
      </c>
      <c r="O63" s="4"/>
      <c r="P63" s="4">
        <v>0</v>
      </c>
      <c r="Q63" s="4"/>
      <c r="R63" s="4">
        <v>0</v>
      </c>
      <c r="S63" s="4"/>
      <c r="T63" s="4">
        <v>60644</v>
      </c>
      <c r="U63" s="4"/>
      <c r="V63" s="4">
        <v>71353</v>
      </c>
      <c r="W63" s="4"/>
      <c r="X63" s="4">
        <v>29122</v>
      </c>
      <c r="Y63" s="4"/>
      <c r="Z63" s="4">
        <v>400000</v>
      </c>
      <c r="AA63" s="4"/>
      <c r="AB63" s="4">
        <v>0</v>
      </c>
      <c r="AC63" s="4"/>
      <c r="AD63" s="4">
        <v>0</v>
      </c>
      <c r="AE63" s="4"/>
      <c r="AF63" s="4">
        <f>SUM(F63:AD63)</f>
        <v>8419219</v>
      </c>
    </row>
    <row r="64" spans="1:64">
      <c r="A64" s="4">
        <v>50</v>
      </c>
      <c r="B64" s="3" t="s">
        <v>428</v>
      </c>
      <c r="D64" s="3" t="s">
        <v>19</v>
      </c>
      <c r="F64" s="4">
        <v>25782516</v>
      </c>
      <c r="G64" s="4"/>
      <c r="H64" s="4">
        <v>0</v>
      </c>
      <c r="I64" s="4"/>
      <c r="J64" s="4">
        <v>0</v>
      </c>
      <c r="K64" s="4"/>
      <c r="L64" s="4">
        <v>41847659</v>
      </c>
      <c r="M64" s="4"/>
      <c r="N64" s="4">
        <v>0</v>
      </c>
      <c r="O64" s="4"/>
      <c r="P64" s="4">
        <v>0</v>
      </c>
      <c r="Q64" s="4"/>
      <c r="R64" s="4">
        <v>0</v>
      </c>
      <c r="S64" s="4"/>
      <c r="T64" s="4">
        <v>273021</v>
      </c>
      <c r="U64" s="4"/>
      <c r="V64" s="4">
        <v>0</v>
      </c>
      <c r="W64" s="4"/>
      <c r="X64" s="4">
        <v>0</v>
      </c>
      <c r="Y64" s="4"/>
      <c r="Z64" s="4">
        <v>0</v>
      </c>
      <c r="AA64" s="4"/>
      <c r="AB64" s="4">
        <v>0</v>
      </c>
      <c r="AC64" s="4"/>
      <c r="AD64" s="4">
        <v>0</v>
      </c>
      <c r="AE64" s="4"/>
      <c r="AF64" s="4">
        <f>SUM(F64:AD64)</f>
        <v>67903196</v>
      </c>
      <c r="AG64" s="51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4"/>
    </row>
    <row r="65" spans="1:64">
      <c r="A65" s="4">
        <v>201</v>
      </c>
      <c r="B65" s="3" t="s">
        <v>117</v>
      </c>
      <c r="D65" s="3" t="s">
        <v>94</v>
      </c>
      <c r="F65" s="4">
        <v>278429</v>
      </c>
      <c r="G65" s="4"/>
      <c r="H65" s="4">
        <v>55011</v>
      </c>
      <c r="I65" s="4"/>
      <c r="J65" s="4">
        <v>79785</v>
      </c>
      <c r="K65" s="4"/>
      <c r="L65" s="4">
        <v>104743</v>
      </c>
      <c r="M65" s="4"/>
      <c r="N65" s="4">
        <v>0</v>
      </c>
      <c r="O65" s="4"/>
      <c r="P65" s="4">
        <v>25641</v>
      </c>
      <c r="Q65" s="4"/>
      <c r="R65" s="4">
        <v>10011</v>
      </c>
      <c r="S65" s="4"/>
      <c r="T65" s="4">
        <v>8569</v>
      </c>
      <c r="U65" s="4"/>
      <c r="V65" s="4">
        <v>0</v>
      </c>
      <c r="W65" s="4"/>
      <c r="X65" s="4">
        <v>0</v>
      </c>
      <c r="Y65" s="4"/>
      <c r="Z65" s="4">
        <v>75590</v>
      </c>
      <c r="AA65" s="4"/>
      <c r="AB65" s="4">
        <v>0</v>
      </c>
      <c r="AC65" s="4"/>
      <c r="AD65" s="4">
        <v>0</v>
      </c>
      <c r="AE65" s="4"/>
      <c r="AF65" s="4">
        <f>SUM(F65:AD65)</f>
        <v>637779</v>
      </c>
    </row>
    <row r="66" spans="1:64">
      <c r="A66" s="4">
        <v>158</v>
      </c>
      <c r="B66" s="3" t="s">
        <v>72</v>
      </c>
      <c r="D66" s="3" t="s">
        <v>50</v>
      </c>
      <c r="F66" s="4">
        <v>137819</v>
      </c>
      <c r="G66" s="4"/>
      <c r="H66" s="4">
        <v>32570</v>
      </c>
      <c r="I66" s="4"/>
      <c r="J66" s="4">
        <v>51117</v>
      </c>
      <c r="K66" s="4"/>
      <c r="L66" s="4">
        <v>34868</v>
      </c>
      <c r="M66" s="4"/>
      <c r="N66" s="4">
        <v>0</v>
      </c>
      <c r="O66" s="4"/>
      <c r="P66" s="4">
        <v>6776</v>
      </c>
      <c r="Q66" s="4"/>
      <c r="R66" s="4">
        <v>2048</v>
      </c>
      <c r="S66" s="4"/>
      <c r="T66" s="4">
        <v>3666</v>
      </c>
      <c r="U66" s="4"/>
      <c r="V66" s="4">
        <v>0</v>
      </c>
      <c r="W66" s="4"/>
      <c r="X66" s="4">
        <v>0</v>
      </c>
      <c r="Y66" s="4"/>
      <c r="Z66" s="4">
        <v>0</v>
      </c>
      <c r="AA66" s="4"/>
      <c r="AB66" s="4">
        <v>0</v>
      </c>
      <c r="AC66" s="4"/>
      <c r="AD66" s="4">
        <v>0</v>
      </c>
      <c r="AE66" s="4"/>
      <c r="AF66" s="4">
        <f>SUM(F66:AD66)</f>
        <v>268864</v>
      </c>
    </row>
    <row r="67" spans="1:64">
      <c r="A67" s="4">
        <v>38</v>
      </c>
      <c r="B67" s="35" t="s">
        <v>454</v>
      </c>
      <c r="C67" s="35"/>
      <c r="D67" s="35" t="s">
        <v>481</v>
      </c>
      <c r="E67" s="35"/>
      <c r="F67" s="4">
        <v>367774</v>
      </c>
      <c r="G67" s="35"/>
      <c r="H67" s="4">
        <v>74065</v>
      </c>
      <c r="I67" s="35"/>
      <c r="J67" s="4">
        <v>91343</v>
      </c>
      <c r="K67" s="35"/>
      <c r="L67" s="4">
        <v>153496</v>
      </c>
      <c r="M67" s="35"/>
      <c r="N67" s="4">
        <v>0</v>
      </c>
      <c r="O67" s="35"/>
      <c r="P67" s="4">
        <v>22680</v>
      </c>
      <c r="Q67" s="35"/>
      <c r="R67" s="4">
        <v>7119</v>
      </c>
      <c r="S67" s="35"/>
      <c r="T67" s="4">
        <v>24843</v>
      </c>
      <c r="U67" s="35"/>
      <c r="V67" s="4">
        <v>0</v>
      </c>
      <c r="W67" s="35"/>
      <c r="X67" s="4">
        <v>0</v>
      </c>
      <c r="Y67" s="35"/>
      <c r="Z67" s="4">
        <v>150000</v>
      </c>
      <c r="AA67" s="35"/>
      <c r="AB67" s="4">
        <v>0</v>
      </c>
      <c r="AC67" s="35"/>
      <c r="AD67" s="4">
        <v>0</v>
      </c>
      <c r="AE67" s="35"/>
      <c r="AF67" s="4">
        <f>SUM(F67:AD67)</f>
        <v>891320</v>
      </c>
      <c r="AG67" s="51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4"/>
    </row>
    <row r="68" spans="1:64">
      <c r="A68" s="4">
        <v>76</v>
      </c>
      <c r="B68" s="3" t="s">
        <v>118</v>
      </c>
      <c r="D68" s="3" t="s">
        <v>92</v>
      </c>
      <c r="F68" s="4">
        <v>26862634</v>
      </c>
      <c r="G68" s="4"/>
      <c r="H68" s="4">
        <v>7340098</v>
      </c>
      <c r="I68" s="4"/>
      <c r="J68" s="4">
        <v>8736487</v>
      </c>
      <c r="K68" s="4"/>
      <c r="L68" s="4">
        <v>6738991</v>
      </c>
      <c r="M68" s="4"/>
      <c r="N68" s="4">
        <v>0</v>
      </c>
      <c r="O68" s="4"/>
      <c r="P68" s="4">
        <v>1219024</v>
      </c>
      <c r="Q68" s="4"/>
      <c r="R68" s="4">
        <v>803303</v>
      </c>
      <c r="S68" s="4"/>
      <c r="T68" s="4">
        <v>1111351</v>
      </c>
      <c r="U68" s="4"/>
      <c r="V68" s="4">
        <v>0</v>
      </c>
      <c r="W68" s="4"/>
      <c r="X68" s="4">
        <v>0</v>
      </c>
      <c r="Y68" s="4"/>
      <c r="Z68" s="4">
        <v>2168424</v>
      </c>
      <c r="AA68" s="4"/>
      <c r="AB68" s="4">
        <v>0</v>
      </c>
      <c r="AC68" s="4"/>
      <c r="AD68" s="4">
        <v>0</v>
      </c>
      <c r="AE68" s="4"/>
      <c r="AF68" s="4">
        <f>SUM(F68:AD68)</f>
        <v>54980312</v>
      </c>
      <c r="AI68" s="4"/>
    </row>
    <row r="69" spans="1:64">
      <c r="A69" s="4">
        <v>63</v>
      </c>
      <c r="B69" s="3" t="s">
        <v>363</v>
      </c>
      <c r="D69" s="4" t="s">
        <v>70</v>
      </c>
      <c r="F69" s="4">
        <v>377374</v>
      </c>
      <c r="G69" s="4"/>
      <c r="H69" s="4">
        <v>97037</v>
      </c>
      <c r="I69" s="4"/>
      <c r="J69" s="4">
        <v>101088</v>
      </c>
      <c r="K69" s="4"/>
      <c r="L69" s="4">
        <v>56555</v>
      </c>
      <c r="M69" s="4"/>
      <c r="N69" s="4">
        <v>0</v>
      </c>
      <c r="O69" s="4"/>
      <c r="P69" s="4">
        <v>11073</v>
      </c>
      <c r="Q69" s="4"/>
      <c r="R69" s="4">
        <v>1685</v>
      </c>
      <c r="S69" s="4"/>
      <c r="T69" s="4">
        <v>7131</v>
      </c>
      <c r="U69" s="4"/>
      <c r="V69" s="4">
        <v>0</v>
      </c>
      <c r="W69" s="4"/>
      <c r="X69" s="4">
        <v>0</v>
      </c>
      <c r="Y69" s="4"/>
      <c r="Z69" s="4">
        <v>0</v>
      </c>
      <c r="AA69" s="4"/>
      <c r="AB69" s="4">
        <v>0</v>
      </c>
      <c r="AC69" s="4"/>
      <c r="AD69" s="4">
        <v>0</v>
      </c>
      <c r="AE69" s="4"/>
      <c r="AF69" s="4">
        <f>SUM(F69:AD69)</f>
        <v>651943</v>
      </c>
      <c r="AI69" s="4"/>
    </row>
    <row r="70" spans="1:64">
      <c r="A70" s="4">
        <v>10</v>
      </c>
      <c r="B70" s="3" t="s">
        <v>119</v>
      </c>
      <c r="D70" s="3" t="s">
        <v>43</v>
      </c>
      <c r="F70" s="4">
        <v>350271</v>
      </c>
      <c r="G70" s="4"/>
      <c r="H70" s="4">
        <v>112491</v>
      </c>
      <c r="I70" s="4"/>
      <c r="J70" s="4">
        <v>61067</v>
      </c>
      <c r="K70" s="4"/>
      <c r="L70" s="4">
        <v>74436</v>
      </c>
      <c r="M70" s="4"/>
      <c r="N70" s="4">
        <v>0</v>
      </c>
      <c r="O70" s="4"/>
      <c r="P70" s="4">
        <v>27218</v>
      </c>
      <c r="Q70" s="4"/>
      <c r="R70" s="4">
        <v>10766</v>
      </c>
      <c r="S70" s="4"/>
      <c r="T70" s="4">
        <v>11496</v>
      </c>
      <c r="U70" s="4"/>
      <c r="V70" s="4">
        <v>0</v>
      </c>
      <c r="W70" s="4"/>
      <c r="X70" s="4">
        <v>0</v>
      </c>
      <c r="Y70" s="4"/>
      <c r="Z70" s="4">
        <v>40000</v>
      </c>
      <c r="AA70" s="4"/>
      <c r="AB70" s="4">
        <v>28558</v>
      </c>
      <c r="AC70" s="4"/>
      <c r="AD70" s="4">
        <v>0</v>
      </c>
      <c r="AE70" s="4"/>
      <c r="AF70" s="4">
        <f>SUM(F70:AD70)</f>
        <v>716303</v>
      </c>
      <c r="AI70" s="4"/>
    </row>
    <row r="71" spans="1:64">
      <c r="A71" s="4">
        <v>45</v>
      </c>
      <c r="B71" s="3" t="s">
        <v>120</v>
      </c>
      <c r="D71" s="3" t="s">
        <v>121</v>
      </c>
      <c r="F71" s="4">
        <v>797554</v>
      </c>
      <c r="G71" s="4"/>
      <c r="H71" s="4">
        <v>213541</v>
      </c>
      <c r="I71" s="4"/>
      <c r="J71" s="4">
        <v>193239</v>
      </c>
      <c r="K71" s="4"/>
      <c r="L71" s="4">
        <v>182405</v>
      </c>
      <c r="M71" s="4"/>
      <c r="N71" s="4">
        <v>0</v>
      </c>
      <c r="O71" s="4"/>
      <c r="P71" s="4">
        <v>29101</v>
      </c>
      <c r="Q71" s="4"/>
      <c r="R71" s="4">
        <v>9717</v>
      </c>
      <c r="S71" s="4"/>
      <c r="T71" s="4">
        <v>12781</v>
      </c>
      <c r="U71" s="4"/>
      <c r="V71" s="4">
        <v>0</v>
      </c>
      <c r="W71" s="4"/>
      <c r="X71" s="4">
        <v>0</v>
      </c>
      <c r="Y71" s="4"/>
      <c r="Z71" s="4">
        <v>65980</v>
      </c>
      <c r="AA71" s="4"/>
      <c r="AB71" s="4">
        <v>0</v>
      </c>
      <c r="AC71" s="4"/>
      <c r="AD71" s="4">
        <v>0</v>
      </c>
      <c r="AE71" s="4"/>
      <c r="AF71" s="4">
        <f>SUM(F71:AD71)</f>
        <v>1504318</v>
      </c>
      <c r="AI71" s="4"/>
    </row>
    <row r="72" spans="1:64">
      <c r="A72" s="4">
        <v>47</v>
      </c>
      <c r="B72" s="35" t="s">
        <v>122</v>
      </c>
      <c r="C72" s="35"/>
      <c r="D72" s="35" t="s">
        <v>482</v>
      </c>
      <c r="E72" s="35"/>
      <c r="F72" s="4">
        <v>233972</v>
      </c>
      <c r="G72" s="35"/>
      <c r="H72" s="4">
        <v>40092</v>
      </c>
      <c r="I72" s="35"/>
      <c r="J72" s="4">
        <v>87221</v>
      </c>
      <c r="K72" s="35"/>
      <c r="L72" s="4">
        <v>110018</v>
      </c>
      <c r="M72" s="35"/>
      <c r="N72" s="4">
        <v>0</v>
      </c>
      <c r="O72" s="35"/>
      <c r="P72" s="4">
        <v>21867</v>
      </c>
      <c r="Q72" s="35"/>
      <c r="R72" s="4">
        <v>3198</v>
      </c>
      <c r="S72" s="35"/>
      <c r="T72" s="4">
        <v>10589</v>
      </c>
      <c r="U72" s="35"/>
      <c r="V72" s="4">
        <v>0</v>
      </c>
      <c r="W72" s="35"/>
      <c r="X72" s="4">
        <v>0</v>
      </c>
      <c r="Y72" s="35"/>
      <c r="Z72" s="4">
        <v>0</v>
      </c>
      <c r="AA72" s="35"/>
      <c r="AB72" s="4">
        <v>0</v>
      </c>
      <c r="AC72" s="35"/>
      <c r="AD72" s="4">
        <v>0</v>
      </c>
      <c r="AE72" s="35"/>
      <c r="AF72" s="4">
        <f>SUM(F72:AD72)</f>
        <v>506957</v>
      </c>
      <c r="AI72" s="4"/>
    </row>
    <row r="73" spans="1:64">
      <c r="A73" s="4">
        <v>51</v>
      </c>
      <c r="B73" s="3" t="s">
        <v>598</v>
      </c>
      <c r="D73" s="3" t="s">
        <v>19</v>
      </c>
      <c r="F73" s="4">
        <f>3070048+13077637</f>
        <v>16147685</v>
      </c>
      <c r="G73" s="4"/>
      <c r="H73" s="4">
        <v>0</v>
      </c>
      <c r="I73" s="4"/>
      <c r="J73" s="4">
        <v>0</v>
      </c>
      <c r="K73" s="4"/>
      <c r="L73" s="4">
        <v>40869143</v>
      </c>
      <c r="M73" s="4"/>
      <c r="N73" s="4">
        <v>5416361</v>
      </c>
      <c r="O73" s="4"/>
      <c r="P73" s="4">
        <v>0</v>
      </c>
      <c r="Q73" s="4"/>
      <c r="R73" s="4">
        <v>0</v>
      </c>
      <c r="S73" s="4"/>
      <c r="T73" s="4">
        <v>1205557</v>
      </c>
      <c r="U73" s="4"/>
      <c r="V73" s="4">
        <v>0</v>
      </c>
      <c r="W73" s="4"/>
      <c r="X73" s="4">
        <v>0</v>
      </c>
      <c r="Y73" s="4"/>
      <c r="Z73" s="4">
        <v>5155000</v>
      </c>
      <c r="AA73" s="4"/>
      <c r="AB73" s="4">
        <v>0</v>
      </c>
      <c r="AC73" s="4"/>
      <c r="AD73" s="4">
        <v>0</v>
      </c>
      <c r="AE73" s="4"/>
      <c r="AF73" s="4">
        <f>SUM(F73:AD73)</f>
        <v>68793746</v>
      </c>
      <c r="AG73" s="51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4"/>
    </row>
    <row r="74" spans="1:64">
      <c r="A74" s="4">
        <v>169</v>
      </c>
      <c r="B74" s="3" t="s">
        <v>124</v>
      </c>
      <c r="D74" s="3" t="s">
        <v>55</v>
      </c>
      <c r="F74" s="4">
        <f>2546515+6895649</f>
        <v>9442164</v>
      </c>
      <c r="G74" s="4"/>
      <c r="H74" s="4">
        <v>0</v>
      </c>
      <c r="I74" s="4"/>
      <c r="J74" s="4">
        <v>0</v>
      </c>
      <c r="K74" s="4"/>
      <c r="L74" s="4">
        <f>881057+17463256</f>
        <v>18344313</v>
      </c>
      <c r="M74" s="4"/>
      <c r="N74" s="4">
        <v>499147</v>
      </c>
      <c r="O74" s="4"/>
      <c r="P74" s="4">
        <v>0</v>
      </c>
      <c r="Q74" s="4"/>
      <c r="R74" s="4">
        <v>0</v>
      </c>
      <c r="S74" s="4"/>
      <c r="T74" s="4">
        <v>755857</v>
      </c>
      <c r="U74" s="4"/>
      <c r="V74" s="4">
        <v>0</v>
      </c>
      <c r="W74" s="4"/>
      <c r="X74" s="4">
        <v>0</v>
      </c>
      <c r="Y74" s="4"/>
      <c r="Z74" s="4">
        <v>102328</v>
      </c>
      <c r="AA74" s="4"/>
      <c r="AB74" s="4">
        <v>0</v>
      </c>
      <c r="AC74" s="4"/>
      <c r="AD74" s="4">
        <v>0</v>
      </c>
      <c r="AE74" s="4"/>
      <c r="AF74" s="4">
        <f>SUM(F74:AD74)</f>
        <v>29143809</v>
      </c>
    </row>
    <row r="75" spans="1:64">
      <c r="A75" s="4">
        <v>62</v>
      </c>
      <c r="B75" s="3" t="s">
        <v>125</v>
      </c>
      <c r="D75" s="3" t="s">
        <v>126</v>
      </c>
      <c r="F75" s="4">
        <v>844085</v>
      </c>
      <c r="G75" s="4"/>
      <c r="H75" s="4">
        <v>233045</v>
      </c>
      <c r="I75" s="4"/>
      <c r="J75" s="4">
        <v>294628</v>
      </c>
      <c r="K75" s="4"/>
      <c r="L75" s="4">
        <v>231831</v>
      </c>
      <c r="M75" s="4"/>
      <c r="N75" s="4">
        <v>0</v>
      </c>
      <c r="O75" s="4"/>
      <c r="P75" s="4">
        <v>52724</v>
      </c>
      <c r="Q75" s="4"/>
      <c r="R75" s="4">
        <v>9946</v>
      </c>
      <c r="S75" s="4"/>
      <c r="T75" s="4">
        <v>77714</v>
      </c>
      <c r="U75" s="4"/>
      <c r="V75" s="4">
        <v>0</v>
      </c>
      <c r="W75" s="4"/>
      <c r="X75" s="4">
        <v>0</v>
      </c>
      <c r="Y75" s="4"/>
      <c r="Z75" s="4">
        <v>50000</v>
      </c>
      <c r="AA75" s="4"/>
      <c r="AB75" s="4">
        <v>0</v>
      </c>
      <c r="AC75" s="4"/>
      <c r="AD75" s="4">
        <v>0</v>
      </c>
      <c r="AE75" s="4"/>
      <c r="AF75" s="4">
        <f>SUM(F75:AD75)</f>
        <v>1793973</v>
      </c>
      <c r="AI75" s="4"/>
    </row>
    <row r="76" spans="1:64">
      <c r="A76" s="4">
        <v>64</v>
      </c>
      <c r="B76" s="3" t="s">
        <v>127</v>
      </c>
      <c r="D76" s="3" t="s">
        <v>70</v>
      </c>
      <c r="F76" s="4">
        <v>1658828</v>
      </c>
      <c r="G76" s="4"/>
      <c r="H76" s="4">
        <v>0</v>
      </c>
      <c r="I76" s="4"/>
      <c r="J76" s="4">
        <v>286286</v>
      </c>
      <c r="K76" s="4"/>
      <c r="L76" s="4">
        <f>363439</f>
        <v>363439</v>
      </c>
      <c r="M76" s="4"/>
      <c r="N76" s="4">
        <v>0</v>
      </c>
      <c r="O76" s="4"/>
      <c r="P76" s="4">
        <v>96447</v>
      </c>
      <c r="Q76" s="4"/>
      <c r="R76" s="4">
        <v>1213</v>
      </c>
      <c r="S76" s="4"/>
      <c r="T76" s="4">
        <v>42695</v>
      </c>
      <c r="U76" s="4"/>
      <c r="V76" s="4">
        <v>0</v>
      </c>
      <c r="W76" s="4"/>
      <c r="X76" s="4">
        <v>0</v>
      </c>
      <c r="Y76" s="4"/>
      <c r="Z76" s="4">
        <v>0</v>
      </c>
      <c r="AA76" s="4"/>
      <c r="AB76" s="4">
        <v>0</v>
      </c>
      <c r="AC76" s="4"/>
      <c r="AD76" s="4">
        <v>0</v>
      </c>
      <c r="AE76" s="4"/>
      <c r="AF76" s="4">
        <f>SUM(F76:AD76)</f>
        <v>2448908</v>
      </c>
    </row>
    <row r="77" spans="1:64">
      <c r="A77" s="4">
        <v>4</v>
      </c>
      <c r="B77" s="3" t="s">
        <v>128</v>
      </c>
      <c r="D77" s="3" t="s">
        <v>97</v>
      </c>
      <c r="F77" s="4">
        <v>266294</v>
      </c>
      <c r="G77" s="4"/>
      <c r="H77" s="4">
        <v>38812</v>
      </c>
      <c r="I77" s="4"/>
      <c r="J77" s="4">
        <v>77817</v>
      </c>
      <c r="K77" s="4"/>
      <c r="L77" s="4">
        <v>116068</v>
      </c>
      <c r="M77" s="4"/>
      <c r="N77" s="4">
        <v>0</v>
      </c>
      <c r="O77" s="4"/>
      <c r="P77" s="4">
        <v>31714</v>
      </c>
      <c r="Q77" s="4"/>
      <c r="R77" s="4">
        <v>4366</v>
      </c>
      <c r="S77" s="4"/>
      <c r="T77" s="4">
        <v>87600</v>
      </c>
      <c r="U77" s="4"/>
      <c r="V77" s="4">
        <v>0</v>
      </c>
      <c r="W77" s="4"/>
      <c r="X77" s="4">
        <v>0</v>
      </c>
      <c r="Y77" s="4"/>
      <c r="Z77" s="4">
        <v>0</v>
      </c>
      <c r="AA77" s="4"/>
      <c r="AB77" s="4">
        <v>0</v>
      </c>
      <c r="AC77" s="4"/>
      <c r="AD77" s="4">
        <v>0</v>
      </c>
      <c r="AE77" s="4"/>
      <c r="AF77" s="4">
        <f>SUM(F77:AD77)</f>
        <v>622671</v>
      </c>
      <c r="AI77" s="4"/>
    </row>
    <row r="78" spans="1:64">
      <c r="A78" s="4">
        <v>83</v>
      </c>
      <c r="B78" s="3" t="s">
        <v>129</v>
      </c>
      <c r="D78" s="3" t="s">
        <v>42</v>
      </c>
      <c r="F78" s="4">
        <v>251291</v>
      </c>
      <c r="G78" s="4"/>
      <c r="H78" s="4">
        <v>52866</v>
      </c>
      <c r="I78" s="4"/>
      <c r="J78" s="4">
        <v>49080</v>
      </c>
      <c r="K78" s="4"/>
      <c r="L78" s="4">
        <v>77520</v>
      </c>
      <c r="M78" s="4"/>
      <c r="N78" s="4">
        <v>0</v>
      </c>
      <c r="O78" s="4"/>
      <c r="P78" s="4">
        <v>11936</v>
      </c>
      <c r="Q78" s="4"/>
      <c r="R78" s="4">
        <v>6921</v>
      </c>
      <c r="S78" s="4"/>
      <c r="T78" s="4">
        <v>34441</v>
      </c>
      <c r="U78" s="4"/>
      <c r="V78" s="4">
        <v>0</v>
      </c>
      <c r="W78" s="4"/>
      <c r="X78" s="4">
        <v>0</v>
      </c>
      <c r="Y78" s="4"/>
      <c r="Z78" s="4">
        <v>148000</v>
      </c>
      <c r="AA78" s="4"/>
      <c r="AB78" s="4">
        <v>0</v>
      </c>
      <c r="AC78" s="4"/>
      <c r="AD78" s="4">
        <v>0</v>
      </c>
      <c r="AE78" s="4"/>
      <c r="AF78" s="4">
        <f>SUM(F78:AD78)</f>
        <v>632055</v>
      </c>
      <c r="AI78" s="4"/>
    </row>
    <row r="79" spans="1:64">
      <c r="A79" s="4">
        <v>258</v>
      </c>
      <c r="B79" s="3" t="s">
        <v>130</v>
      </c>
      <c r="D79" s="3" t="s">
        <v>63</v>
      </c>
      <c r="F79" s="4">
        <v>197107</v>
      </c>
      <c r="G79" s="4"/>
      <c r="H79" s="4">
        <v>82045</v>
      </c>
      <c r="I79" s="4"/>
      <c r="J79" s="4">
        <v>37349</v>
      </c>
      <c r="K79" s="4"/>
      <c r="L79" s="4">
        <v>33901</v>
      </c>
      <c r="M79" s="4"/>
      <c r="N79" s="4">
        <v>0</v>
      </c>
      <c r="O79" s="4"/>
      <c r="P79" s="4">
        <v>8540</v>
      </c>
      <c r="Q79" s="4"/>
      <c r="R79" s="4">
        <v>10446</v>
      </c>
      <c r="S79" s="4"/>
      <c r="T79" s="4">
        <v>1654</v>
      </c>
      <c r="U79" s="4"/>
      <c r="V79" s="4">
        <v>0</v>
      </c>
      <c r="W79" s="4"/>
      <c r="X79" s="4">
        <v>0</v>
      </c>
      <c r="Y79" s="4"/>
      <c r="Z79" s="4">
        <v>0</v>
      </c>
      <c r="AA79" s="4"/>
      <c r="AB79" s="4">
        <v>0</v>
      </c>
      <c r="AC79" s="4"/>
      <c r="AD79" s="4">
        <v>0</v>
      </c>
      <c r="AE79" s="4"/>
      <c r="AF79" s="4">
        <f>SUM(F79:AD79)</f>
        <v>371042</v>
      </c>
      <c r="AI79" s="4"/>
    </row>
    <row r="80" spans="1:64">
      <c r="A80" s="4">
        <v>232</v>
      </c>
      <c r="B80" s="3" t="s">
        <v>131</v>
      </c>
      <c r="D80" s="3" t="s">
        <v>26</v>
      </c>
      <c r="F80" s="4">
        <v>398907</v>
      </c>
      <c r="G80" s="4"/>
      <c r="H80" s="4">
        <v>86476</v>
      </c>
      <c r="I80" s="4"/>
      <c r="J80" s="4">
        <v>67459</v>
      </c>
      <c r="K80" s="4"/>
      <c r="L80" s="4">
        <v>159684</v>
      </c>
      <c r="M80" s="4"/>
      <c r="N80" s="4">
        <v>0</v>
      </c>
      <c r="O80" s="4"/>
      <c r="P80" s="4">
        <v>14315</v>
      </c>
      <c r="Q80" s="4"/>
      <c r="R80" s="4">
        <v>7239</v>
      </c>
      <c r="S80" s="4"/>
      <c r="T80" s="4">
        <v>11737</v>
      </c>
      <c r="U80" s="4"/>
      <c r="V80" s="4">
        <v>0</v>
      </c>
      <c r="W80" s="4"/>
      <c r="X80" s="4">
        <v>0</v>
      </c>
      <c r="Y80" s="4"/>
      <c r="Z80" s="4">
        <v>0</v>
      </c>
      <c r="AA80" s="4"/>
      <c r="AB80" s="4">
        <v>0</v>
      </c>
      <c r="AC80" s="4"/>
      <c r="AD80" s="4">
        <v>0</v>
      </c>
      <c r="AE80" s="4"/>
      <c r="AF80" s="4">
        <f>SUM(F80:AD80)</f>
        <v>745817</v>
      </c>
      <c r="AI80" s="4"/>
    </row>
    <row r="81" spans="1:64">
      <c r="A81" s="4">
        <v>88</v>
      </c>
      <c r="B81" s="3" t="s">
        <v>336</v>
      </c>
      <c r="D81" s="3" t="s">
        <v>132</v>
      </c>
      <c r="F81" s="4">
        <v>595423</v>
      </c>
      <c r="G81" s="4"/>
      <c r="H81" s="4">
        <v>193224</v>
      </c>
      <c r="I81" s="4"/>
      <c r="J81" s="4">
        <v>132187</v>
      </c>
      <c r="K81" s="4"/>
      <c r="L81" s="4">
        <v>211956</v>
      </c>
      <c r="M81" s="4"/>
      <c r="N81" s="4">
        <v>0</v>
      </c>
      <c r="O81" s="4"/>
      <c r="P81" s="4">
        <v>50688</v>
      </c>
      <c r="Q81" s="4"/>
      <c r="R81" s="4">
        <v>4770</v>
      </c>
      <c r="S81" s="4"/>
      <c r="T81" s="4">
        <v>15967</v>
      </c>
      <c r="U81" s="4"/>
      <c r="V81" s="4">
        <v>0</v>
      </c>
      <c r="W81" s="4"/>
      <c r="X81" s="4">
        <v>0</v>
      </c>
      <c r="Y81" s="4"/>
      <c r="Z81" s="4">
        <v>561000</v>
      </c>
      <c r="AA81" s="4"/>
      <c r="AB81" s="4">
        <v>0</v>
      </c>
      <c r="AC81" s="4"/>
      <c r="AD81" s="4">
        <v>0</v>
      </c>
      <c r="AE81" s="4"/>
      <c r="AF81" s="4">
        <f>SUM(F81:AD81)</f>
        <v>1765215</v>
      </c>
      <c r="AG81" s="51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4"/>
    </row>
    <row r="82" spans="1:64">
      <c r="A82" s="4">
        <v>138</v>
      </c>
      <c r="B82" s="35" t="s">
        <v>133</v>
      </c>
      <c r="C82" s="35"/>
      <c r="D82" s="35" t="s">
        <v>87</v>
      </c>
      <c r="E82" s="35"/>
      <c r="F82" s="4">
        <v>26442</v>
      </c>
      <c r="G82" s="35"/>
      <c r="H82" s="4">
        <v>3994</v>
      </c>
      <c r="I82" s="35"/>
      <c r="J82" s="4">
        <v>0</v>
      </c>
      <c r="K82" s="35"/>
      <c r="L82" s="4">
        <v>9776</v>
      </c>
      <c r="M82" s="35"/>
      <c r="N82" s="4">
        <v>0</v>
      </c>
      <c r="O82" s="35"/>
      <c r="P82" s="4">
        <v>2519</v>
      </c>
      <c r="Q82" s="35"/>
      <c r="R82" s="4">
        <v>18963</v>
      </c>
      <c r="S82" s="35"/>
      <c r="T82" s="4">
        <v>0</v>
      </c>
      <c r="U82" s="35"/>
      <c r="V82" s="4">
        <v>0</v>
      </c>
      <c r="W82" s="35"/>
      <c r="X82" s="4">
        <v>0</v>
      </c>
      <c r="Y82" s="35"/>
      <c r="Z82" s="4">
        <v>0</v>
      </c>
      <c r="AA82" s="35"/>
      <c r="AB82" s="4">
        <v>0</v>
      </c>
      <c r="AC82" s="35"/>
      <c r="AD82" s="4">
        <v>0</v>
      </c>
      <c r="AE82" s="35"/>
      <c r="AF82" s="4">
        <f>SUM(F82:AD82)</f>
        <v>61694</v>
      </c>
    </row>
    <row r="83" spans="1:64">
      <c r="A83" s="4">
        <v>52</v>
      </c>
      <c r="B83" s="35" t="s">
        <v>456</v>
      </c>
      <c r="C83" s="35"/>
      <c r="D83" s="35" t="s">
        <v>483</v>
      </c>
      <c r="E83" s="35"/>
      <c r="F83" s="4">
        <v>1549097</v>
      </c>
      <c r="G83" s="35"/>
      <c r="H83" s="4">
        <v>667661</v>
      </c>
      <c r="I83" s="35"/>
      <c r="J83" s="4">
        <v>848627</v>
      </c>
      <c r="K83" s="35"/>
      <c r="L83" s="4">
        <v>208656</v>
      </c>
      <c r="M83" s="35"/>
      <c r="N83" s="4">
        <v>0</v>
      </c>
      <c r="O83" s="35"/>
      <c r="P83" s="4">
        <v>95422</v>
      </c>
      <c r="Q83" s="35"/>
      <c r="R83" s="4">
        <v>66612</v>
      </c>
      <c r="S83" s="35"/>
      <c r="T83" s="4">
        <v>106435</v>
      </c>
      <c r="U83" s="35"/>
      <c r="V83" s="4">
        <v>0</v>
      </c>
      <c r="W83" s="35"/>
      <c r="X83" s="4">
        <v>0</v>
      </c>
      <c r="Y83" s="35"/>
      <c r="Z83" s="4">
        <v>0</v>
      </c>
      <c r="AA83" s="35"/>
      <c r="AB83" s="4">
        <v>0</v>
      </c>
      <c r="AC83" s="35"/>
      <c r="AD83" s="4">
        <v>0</v>
      </c>
      <c r="AE83" s="35"/>
      <c r="AF83" s="4">
        <f>SUM(F83:AD83)</f>
        <v>3542510</v>
      </c>
    </row>
    <row r="84" spans="1:64">
      <c r="A84" s="4">
        <v>39</v>
      </c>
      <c r="B84" s="4" t="s">
        <v>569</v>
      </c>
      <c r="D84" s="3" t="s">
        <v>51</v>
      </c>
      <c r="F84" s="4">
        <v>404356</v>
      </c>
      <c r="G84" s="4"/>
      <c r="H84" s="4">
        <v>191106</v>
      </c>
      <c r="I84" s="4"/>
      <c r="J84" s="4">
        <v>91677</v>
      </c>
      <c r="K84" s="4"/>
      <c r="L84" s="4">
        <v>112059</v>
      </c>
      <c r="M84" s="4"/>
      <c r="N84" s="4">
        <v>0</v>
      </c>
      <c r="O84" s="4"/>
      <c r="P84" s="4">
        <v>13544</v>
      </c>
      <c r="Q84" s="4"/>
      <c r="R84" s="4">
        <v>9557</v>
      </c>
      <c r="S84" s="4"/>
      <c r="T84" s="4">
        <v>0</v>
      </c>
      <c r="U84" s="4"/>
      <c r="V84" s="4">
        <v>0</v>
      </c>
      <c r="W84" s="4"/>
      <c r="X84" s="4">
        <v>0</v>
      </c>
      <c r="Y84" s="4"/>
      <c r="Z84" s="4">
        <v>0</v>
      </c>
      <c r="AA84" s="4"/>
      <c r="AB84" s="4">
        <v>0</v>
      </c>
      <c r="AC84" s="4"/>
      <c r="AD84" s="4">
        <v>0</v>
      </c>
      <c r="AE84" s="4"/>
      <c r="AF84" s="4">
        <f>SUM(F84:AD84)</f>
        <v>822299</v>
      </c>
    </row>
    <row r="85" spans="1:64">
      <c r="A85" s="4">
        <v>40</v>
      </c>
      <c r="B85" s="3" t="s">
        <v>134</v>
      </c>
      <c r="D85" s="3" t="s">
        <v>51</v>
      </c>
      <c r="F85" s="4">
        <v>253431</v>
      </c>
      <c r="G85" s="4"/>
      <c r="H85" s="4">
        <v>84762</v>
      </c>
      <c r="I85" s="4"/>
      <c r="J85" s="4">
        <v>41456</v>
      </c>
      <c r="K85" s="4"/>
      <c r="L85" s="4">
        <v>37573</v>
      </c>
      <c r="M85" s="4"/>
      <c r="N85" s="4">
        <v>0</v>
      </c>
      <c r="O85" s="4"/>
      <c r="P85" s="4">
        <v>13148</v>
      </c>
      <c r="Q85" s="4"/>
      <c r="R85" s="4">
        <v>452</v>
      </c>
      <c r="S85" s="4"/>
      <c r="T85" s="4">
        <v>3440</v>
      </c>
      <c r="U85" s="4"/>
      <c r="V85" s="4">
        <v>0</v>
      </c>
      <c r="W85" s="4"/>
      <c r="X85" s="4">
        <v>0</v>
      </c>
      <c r="Y85" s="4"/>
      <c r="Z85" s="4">
        <v>0</v>
      </c>
      <c r="AA85" s="4"/>
      <c r="AB85" s="4">
        <v>0</v>
      </c>
      <c r="AC85" s="4"/>
      <c r="AD85" s="4">
        <v>0</v>
      </c>
      <c r="AE85" s="4"/>
      <c r="AF85" s="4">
        <f>SUM(F85:AD85)</f>
        <v>434262</v>
      </c>
    </row>
    <row r="86" spans="1:64">
      <c r="A86" s="4">
        <v>155</v>
      </c>
      <c r="B86" s="3" t="s">
        <v>429</v>
      </c>
      <c r="D86" s="3" t="s">
        <v>20</v>
      </c>
      <c r="F86" s="4">
        <f>655506+190359+533854</f>
        <v>1379719</v>
      </c>
      <c r="G86" s="4"/>
      <c r="H86" s="4">
        <v>0</v>
      </c>
      <c r="I86" s="4"/>
      <c r="J86" s="4">
        <v>0</v>
      </c>
      <c r="K86" s="4"/>
      <c r="L86" s="4">
        <v>831708</v>
      </c>
      <c r="M86" s="4"/>
      <c r="N86" s="4">
        <v>207664</v>
      </c>
      <c r="O86" s="4"/>
      <c r="P86" s="4">
        <v>0</v>
      </c>
      <c r="Q86" s="4"/>
      <c r="R86" s="4">
        <v>0</v>
      </c>
      <c r="S86" s="4"/>
      <c r="T86" s="4">
        <v>22087</v>
      </c>
      <c r="U86" s="4"/>
      <c r="V86" s="4">
        <v>0</v>
      </c>
      <c r="W86" s="4"/>
      <c r="X86" s="4">
        <v>0</v>
      </c>
      <c r="Y86" s="4"/>
      <c r="Z86" s="4">
        <v>94622</v>
      </c>
      <c r="AA86" s="4"/>
      <c r="AB86" s="4">
        <v>0</v>
      </c>
      <c r="AC86" s="4"/>
      <c r="AD86" s="4">
        <v>0</v>
      </c>
      <c r="AE86" s="4"/>
      <c r="AF86" s="4">
        <f>SUM(F86:AD86)</f>
        <v>2535800</v>
      </c>
    </row>
    <row r="87" spans="1:64">
      <c r="A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51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4"/>
    </row>
    <row r="88" spans="1:64">
      <c r="A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7" t="s">
        <v>593</v>
      </c>
      <c r="AG88" s="51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4"/>
    </row>
    <row r="89" spans="1:64">
      <c r="B89" s="3" t="s">
        <v>524</v>
      </c>
    </row>
    <row r="90" spans="1:64">
      <c r="B90" s="3" t="s">
        <v>527</v>
      </c>
    </row>
    <row r="91" spans="1:64">
      <c r="B91" s="41" t="s">
        <v>7</v>
      </c>
    </row>
    <row r="92" spans="1:64" s="36" customFormat="1">
      <c r="L92" s="36" t="s">
        <v>8</v>
      </c>
    </row>
    <row r="93" spans="1:64" s="36" customFormat="1">
      <c r="H93" s="36" t="s">
        <v>321</v>
      </c>
      <c r="J93" s="36" t="s">
        <v>323</v>
      </c>
      <c r="L93" s="36" t="s">
        <v>557</v>
      </c>
      <c r="N93" s="36" t="s">
        <v>556</v>
      </c>
      <c r="X93" s="36" t="s">
        <v>330</v>
      </c>
      <c r="AD93" s="36" t="s">
        <v>0</v>
      </c>
    </row>
    <row r="94" spans="1:64" s="36" customFormat="1">
      <c r="H94" s="36" t="s">
        <v>322</v>
      </c>
      <c r="J94" s="36" t="s">
        <v>324</v>
      </c>
      <c r="L94" s="36" t="s">
        <v>325</v>
      </c>
      <c r="N94" s="36" t="s">
        <v>554</v>
      </c>
      <c r="T94" s="36" t="s">
        <v>30</v>
      </c>
      <c r="V94" s="36" t="s">
        <v>328</v>
      </c>
      <c r="X94" s="36" t="s">
        <v>331</v>
      </c>
      <c r="AD94" s="36" t="s">
        <v>296</v>
      </c>
    </row>
    <row r="95" spans="1:64" s="36" customFormat="1" ht="12" customHeight="1">
      <c r="A95" s="36" t="s">
        <v>580</v>
      </c>
      <c r="B95" s="37" t="s">
        <v>8</v>
      </c>
      <c r="D95" s="37" t="s">
        <v>6</v>
      </c>
      <c r="F95" s="37" t="s">
        <v>2</v>
      </c>
      <c r="H95" s="37" t="s">
        <v>3</v>
      </c>
      <c r="J95" s="37" t="s">
        <v>29</v>
      </c>
      <c r="L95" s="37" t="s">
        <v>326</v>
      </c>
      <c r="N95" s="37" t="s">
        <v>555</v>
      </c>
      <c r="P95" s="37" t="s">
        <v>4</v>
      </c>
      <c r="R95" s="37" t="s">
        <v>0</v>
      </c>
      <c r="T95" s="37" t="s">
        <v>327</v>
      </c>
      <c r="V95" s="37" t="s">
        <v>329</v>
      </c>
      <c r="X95" s="37" t="s">
        <v>332</v>
      </c>
      <c r="Z95" s="37" t="s">
        <v>506</v>
      </c>
      <c r="AB95" s="37" t="s">
        <v>507</v>
      </c>
      <c r="AD95" s="37" t="s">
        <v>333</v>
      </c>
      <c r="AF95" s="49" t="s">
        <v>28</v>
      </c>
    </row>
    <row r="96" spans="1:64" s="7" customFormat="1">
      <c r="A96" s="7">
        <v>142</v>
      </c>
      <c r="B96" s="7" t="s">
        <v>135</v>
      </c>
      <c r="D96" s="7" t="s">
        <v>57</v>
      </c>
      <c r="F96" s="7">
        <v>1865990</v>
      </c>
      <c r="H96" s="7">
        <v>545981</v>
      </c>
      <c r="J96" s="7">
        <v>581787</v>
      </c>
      <c r="L96" s="7">
        <v>811019</v>
      </c>
      <c r="N96" s="7">
        <v>0</v>
      </c>
      <c r="P96" s="7">
        <v>87651</v>
      </c>
      <c r="R96" s="7">
        <v>27221</v>
      </c>
      <c r="T96" s="7">
        <v>63798</v>
      </c>
      <c r="V96" s="7">
        <v>0</v>
      </c>
      <c r="X96" s="7">
        <v>0</v>
      </c>
      <c r="Z96" s="7">
        <v>63247</v>
      </c>
      <c r="AB96" s="7">
        <v>0</v>
      </c>
      <c r="AD96" s="7">
        <v>0</v>
      </c>
      <c r="AF96" s="7">
        <f>SUM(F96:AD96)</f>
        <v>4046694</v>
      </c>
      <c r="AG96" s="50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</row>
    <row r="97" spans="1:64">
      <c r="A97" s="4">
        <v>53</v>
      </c>
      <c r="B97" s="3" t="s">
        <v>18</v>
      </c>
      <c r="D97" s="3" t="s">
        <v>19</v>
      </c>
      <c r="F97" s="4">
        <f>772483+223110+1436600</f>
        <v>2432193</v>
      </c>
      <c r="G97" s="4"/>
      <c r="H97" s="4">
        <v>0</v>
      </c>
      <c r="I97" s="4"/>
      <c r="J97" s="4">
        <v>0</v>
      </c>
      <c r="K97" s="4"/>
      <c r="L97" s="4">
        <v>2143589</v>
      </c>
      <c r="M97" s="4"/>
      <c r="N97" s="4">
        <v>490259</v>
      </c>
      <c r="O97" s="4"/>
      <c r="P97" s="4">
        <v>0</v>
      </c>
      <c r="Q97" s="4"/>
      <c r="R97" s="4">
        <v>0</v>
      </c>
      <c r="S97" s="4"/>
      <c r="T97" s="4">
        <v>90408</v>
      </c>
      <c r="U97" s="4"/>
      <c r="V97" s="4">
        <v>0</v>
      </c>
      <c r="W97" s="4"/>
      <c r="X97" s="4">
        <v>0</v>
      </c>
      <c r="Y97" s="4"/>
      <c r="Z97" s="4">
        <v>0</v>
      </c>
      <c r="AA97" s="4"/>
      <c r="AB97" s="4">
        <v>0</v>
      </c>
      <c r="AC97" s="4"/>
      <c r="AD97" s="4">
        <v>0</v>
      </c>
      <c r="AE97" s="4"/>
      <c r="AF97" s="4">
        <f>SUM(F97:AD97)</f>
        <v>5156449</v>
      </c>
      <c r="AR97" s="3">
        <v>1073.2</v>
      </c>
    </row>
    <row r="98" spans="1:64">
      <c r="A98" s="4">
        <v>84</v>
      </c>
      <c r="B98" s="3" t="s">
        <v>136</v>
      </c>
      <c r="D98" s="3" t="s">
        <v>42</v>
      </c>
      <c r="F98" s="4">
        <v>141332</v>
      </c>
      <c r="G98" s="4"/>
      <c r="H98" s="4">
        <v>36114</v>
      </c>
      <c r="I98" s="4"/>
      <c r="J98" s="4">
        <v>48641</v>
      </c>
      <c r="K98" s="4"/>
      <c r="L98" s="4">
        <v>37380</v>
      </c>
      <c r="M98" s="4"/>
      <c r="N98" s="4">
        <v>0</v>
      </c>
      <c r="O98" s="4"/>
      <c r="P98" s="4">
        <v>22653</v>
      </c>
      <c r="Q98" s="4"/>
      <c r="R98" s="4">
        <v>3510</v>
      </c>
      <c r="S98" s="4"/>
      <c r="T98" s="4">
        <v>10260</v>
      </c>
      <c r="U98" s="4"/>
      <c r="V98" s="4">
        <v>0</v>
      </c>
      <c r="W98" s="4"/>
      <c r="X98" s="4">
        <v>0</v>
      </c>
      <c r="Y98" s="4"/>
      <c r="Z98" s="4">
        <v>0</v>
      </c>
      <c r="AA98" s="4"/>
      <c r="AB98" s="4">
        <v>0</v>
      </c>
      <c r="AC98" s="4"/>
      <c r="AD98" s="4">
        <v>0</v>
      </c>
      <c r="AE98" s="4"/>
      <c r="AF98" s="4">
        <f>SUM(F98:AD98)</f>
        <v>299890</v>
      </c>
      <c r="AR98" s="3">
        <v>811.54</v>
      </c>
    </row>
    <row r="99" spans="1:64">
      <c r="A99" s="4">
        <v>70</v>
      </c>
      <c r="B99" s="7" t="s">
        <v>437</v>
      </c>
      <c r="C99" s="7"/>
      <c r="D99" s="7" t="s">
        <v>67</v>
      </c>
      <c r="E99" s="7"/>
      <c r="F99" s="4">
        <v>1833431</v>
      </c>
      <c r="G99" s="4"/>
      <c r="H99" s="4">
        <v>519883</v>
      </c>
      <c r="I99" s="4"/>
      <c r="J99" s="4">
        <v>773216</v>
      </c>
      <c r="K99" s="4"/>
      <c r="L99" s="4">
        <v>568243</v>
      </c>
      <c r="M99" s="4"/>
      <c r="N99" s="4">
        <v>0</v>
      </c>
      <c r="O99" s="4"/>
      <c r="P99" s="4">
        <v>98348</v>
      </c>
      <c r="Q99" s="4"/>
      <c r="R99" s="4">
        <v>12677</v>
      </c>
      <c r="S99" s="4"/>
      <c r="T99" s="4">
        <v>101937</v>
      </c>
      <c r="U99" s="4"/>
      <c r="V99" s="4">
        <v>0</v>
      </c>
      <c r="W99" s="4"/>
      <c r="X99" s="4">
        <v>0</v>
      </c>
      <c r="Y99" s="4"/>
      <c r="Z99" s="4">
        <v>114958</v>
      </c>
      <c r="AA99" s="4"/>
      <c r="AB99" s="4">
        <v>0</v>
      </c>
      <c r="AC99" s="4"/>
      <c r="AD99" s="4">
        <v>0</v>
      </c>
      <c r="AE99" s="4"/>
      <c r="AF99" s="4">
        <f>SUM(F99:AD99)</f>
        <v>4022693</v>
      </c>
      <c r="AG99" s="51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4"/>
    </row>
    <row r="100" spans="1:64">
      <c r="A100" s="4">
        <v>123</v>
      </c>
      <c r="B100" s="3" t="s">
        <v>137</v>
      </c>
      <c r="D100" s="3" t="s">
        <v>15</v>
      </c>
      <c r="F100" s="4">
        <v>216616</v>
      </c>
      <c r="G100" s="4"/>
      <c r="H100" s="4">
        <v>61050</v>
      </c>
      <c r="I100" s="4"/>
      <c r="J100" s="4">
        <v>60761</v>
      </c>
      <c r="K100" s="4"/>
      <c r="L100" s="4">
        <v>71577</v>
      </c>
      <c r="M100" s="4"/>
      <c r="N100" s="4">
        <v>0</v>
      </c>
      <c r="O100" s="4"/>
      <c r="P100" s="4">
        <v>10983</v>
      </c>
      <c r="Q100" s="4"/>
      <c r="R100" s="4">
        <v>1435</v>
      </c>
      <c r="S100" s="4"/>
      <c r="T100" s="4">
        <v>925</v>
      </c>
      <c r="U100" s="4"/>
      <c r="V100" s="4">
        <v>0</v>
      </c>
      <c r="W100" s="4"/>
      <c r="X100" s="4">
        <v>0</v>
      </c>
      <c r="Y100" s="4"/>
      <c r="Z100" s="4">
        <v>0</v>
      </c>
      <c r="AA100" s="4"/>
      <c r="AB100" s="4">
        <v>0</v>
      </c>
      <c r="AC100" s="4"/>
      <c r="AD100" s="4">
        <v>0</v>
      </c>
      <c r="AE100" s="4"/>
      <c r="AF100" s="4">
        <f>SUM(F100:AD100)</f>
        <v>423347</v>
      </c>
      <c r="AR100" s="3">
        <v>2070.62</v>
      </c>
    </row>
    <row r="101" spans="1:64">
      <c r="A101" s="4">
        <v>93</v>
      </c>
      <c r="B101" s="3" t="s">
        <v>599</v>
      </c>
      <c r="D101" s="3" t="s">
        <v>139</v>
      </c>
      <c r="F101" s="4">
        <v>1269199</v>
      </c>
      <c r="G101" s="4"/>
      <c r="H101" s="4">
        <v>435330</v>
      </c>
      <c r="I101" s="4"/>
      <c r="J101" s="4">
        <v>364445</v>
      </c>
      <c r="K101" s="4"/>
      <c r="L101" s="4">
        <v>287142</v>
      </c>
      <c r="M101" s="4"/>
      <c r="N101" s="4">
        <v>0</v>
      </c>
      <c r="O101" s="4"/>
      <c r="P101" s="4">
        <v>95108</v>
      </c>
      <c r="Q101" s="4"/>
      <c r="R101" s="4">
        <v>6945</v>
      </c>
      <c r="S101" s="4"/>
      <c r="T101" s="4">
        <v>443139</v>
      </c>
      <c r="U101" s="4"/>
      <c r="V101" s="4">
        <v>0</v>
      </c>
      <c r="W101" s="4"/>
      <c r="X101" s="4">
        <v>34180</v>
      </c>
      <c r="Y101" s="4"/>
      <c r="Z101" s="4">
        <v>220000</v>
      </c>
      <c r="AA101" s="4"/>
      <c r="AB101" s="4">
        <v>1000000</v>
      </c>
      <c r="AC101" s="4"/>
      <c r="AD101" s="4">
        <v>0</v>
      </c>
      <c r="AE101" s="4"/>
      <c r="AF101" s="4">
        <f>SUM(F101:AD101)</f>
        <v>4155488</v>
      </c>
    </row>
    <row r="102" spans="1:64">
      <c r="A102" s="4">
        <v>97</v>
      </c>
      <c r="B102" s="3" t="s">
        <v>140</v>
      </c>
      <c r="D102" s="3" t="s">
        <v>61</v>
      </c>
      <c r="F102" s="4">
        <v>50032</v>
      </c>
      <c r="G102" s="4"/>
      <c r="H102" s="4">
        <v>13723</v>
      </c>
      <c r="I102" s="4"/>
      <c r="J102" s="4">
        <v>23705</v>
      </c>
      <c r="K102" s="4"/>
      <c r="L102" s="4">
        <v>22233</v>
      </c>
      <c r="M102" s="4"/>
      <c r="N102" s="4">
        <v>0</v>
      </c>
      <c r="O102" s="4"/>
      <c r="P102" s="4">
        <v>4374</v>
      </c>
      <c r="Q102" s="4"/>
      <c r="R102" s="4">
        <v>1818</v>
      </c>
      <c r="S102" s="4"/>
      <c r="T102" s="4">
        <v>548</v>
      </c>
      <c r="U102" s="4"/>
      <c r="V102" s="4">
        <v>0</v>
      </c>
      <c r="W102" s="4"/>
      <c r="X102" s="4">
        <v>0</v>
      </c>
      <c r="Y102" s="4"/>
      <c r="Z102" s="4">
        <v>0</v>
      </c>
      <c r="AA102" s="4"/>
      <c r="AB102" s="4">
        <v>0</v>
      </c>
      <c r="AC102" s="4"/>
      <c r="AD102" s="4">
        <v>0</v>
      </c>
      <c r="AE102" s="4"/>
      <c r="AF102" s="4">
        <f>SUM(F102:AD102)</f>
        <v>116433</v>
      </c>
    </row>
    <row r="103" spans="1:64">
      <c r="A103" s="4">
        <v>159</v>
      </c>
      <c r="B103" s="3" t="s">
        <v>141</v>
      </c>
      <c r="D103" s="3" t="s">
        <v>50</v>
      </c>
      <c r="F103" s="4">
        <v>58848</v>
      </c>
      <c r="G103" s="4"/>
      <c r="H103" s="4">
        <v>8906</v>
      </c>
      <c r="I103" s="4"/>
      <c r="J103" s="4">
        <v>18436</v>
      </c>
      <c r="K103" s="4"/>
      <c r="L103" s="4">
        <v>22816</v>
      </c>
      <c r="M103" s="4"/>
      <c r="N103" s="4">
        <v>0</v>
      </c>
      <c r="O103" s="4"/>
      <c r="P103" s="4">
        <v>11017</v>
      </c>
      <c r="Q103" s="4"/>
      <c r="R103" s="4">
        <v>1098</v>
      </c>
      <c r="S103" s="4"/>
      <c r="T103" s="4">
        <v>915</v>
      </c>
      <c r="U103" s="4"/>
      <c r="V103" s="4">
        <v>0</v>
      </c>
      <c r="W103" s="4"/>
      <c r="X103" s="4">
        <v>0</v>
      </c>
      <c r="Y103" s="4"/>
      <c r="Z103" s="4">
        <v>0</v>
      </c>
      <c r="AA103" s="4"/>
      <c r="AB103" s="4">
        <v>0</v>
      </c>
      <c r="AC103" s="4"/>
      <c r="AD103" s="4">
        <v>0</v>
      </c>
      <c r="AE103" s="4"/>
      <c r="AF103" s="4">
        <f>SUM(F103:AD103)</f>
        <v>122036</v>
      </c>
      <c r="AG103" s="51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4"/>
    </row>
    <row r="104" spans="1:64">
      <c r="A104" s="4">
        <v>240</v>
      </c>
      <c r="B104" s="3" t="s">
        <v>142</v>
      </c>
      <c r="D104" s="3" t="s">
        <v>54</v>
      </c>
      <c r="F104" s="4">
        <v>825164</v>
      </c>
      <c r="G104" s="4"/>
      <c r="H104" s="4">
        <v>255248</v>
      </c>
      <c r="I104" s="4"/>
      <c r="J104" s="4">
        <v>130405</v>
      </c>
      <c r="K104" s="4"/>
      <c r="L104" s="4">
        <v>273187</v>
      </c>
      <c r="M104" s="4"/>
      <c r="N104" s="4">
        <v>0</v>
      </c>
      <c r="O104" s="4"/>
      <c r="P104" s="4">
        <v>35443</v>
      </c>
      <c r="Q104" s="4"/>
      <c r="R104" s="4">
        <v>7752</v>
      </c>
      <c r="S104" s="4"/>
      <c r="T104" s="4">
        <v>16683</v>
      </c>
      <c r="U104" s="4"/>
      <c r="V104" s="4">
        <v>0</v>
      </c>
      <c r="W104" s="4"/>
      <c r="X104" s="4">
        <v>0</v>
      </c>
      <c r="Y104" s="4"/>
      <c r="Z104" s="4">
        <v>105370</v>
      </c>
      <c r="AA104" s="4"/>
      <c r="AB104" s="4">
        <v>0</v>
      </c>
      <c r="AC104" s="4"/>
      <c r="AD104" s="4">
        <v>2409</v>
      </c>
      <c r="AE104" s="4"/>
      <c r="AF104" s="4">
        <f>SUM(F104:AD104)</f>
        <v>1651661</v>
      </c>
    </row>
    <row r="105" spans="1:64">
      <c r="A105" s="4">
        <v>48</v>
      </c>
      <c r="B105" s="35" t="s">
        <v>143</v>
      </c>
      <c r="C105" s="35"/>
      <c r="D105" s="35" t="s">
        <v>482</v>
      </c>
      <c r="E105" s="35"/>
      <c r="F105" s="4">
        <v>323471</v>
      </c>
      <c r="G105" s="35"/>
      <c r="H105" s="4">
        <v>75878</v>
      </c>
      <c r="I105" s="35"/>
      <c r="J105" s="4">
        <v>101812</v>
      </c>
      <c r="K105" s="35"/>
      <c r="L105" s="4">
        <v>110191</v>
      </c>
      <c r="M105" s="35"/>
      <c r="N105" s="4">
        <v>0</v>
      </c>
      <c r="O105" s="35"/>
      <c r="P105" s="4">
        <v>13987</v>
      </c>
      <c r="Q105" s="35"/>
      <c r="R105" s="4">
        <v>2117</v>
      </c>
      <c r="S105" s="35"/>
      <c r="T105" s="4">
        <v>2928</v>
      </c>
      <c r="U105" s="35"/>
      <c r="V105" s="4">
        <v>0</v>
      </c>
      <c r="W105" s="35"/>
      <c r="X105" s="4">
        <v>0</v>
      </c>
      <c r="Y105" s="35"/>
      <c r="Z105" s="4">
        <v>0</v>
      </c>
      <c r="AA105" s="35"/>
      <c r="AB105" s="4">
        <v>0</v>
      </c>
      <c r="AC105" s="35"/>
      <c r="AD105" s="4">
        <v>0</v>
      </c>
      <c r="AE105" s="35"/>
      <c r="AF105" s="4">
        <f>SUM(F105:AD105)</f>
        <v>630384</v>
      </c>
    </row>
    <row r="106" spans="1:64">
      <c r="A106" s="4">
        <v>190</v>
      </c>
      <c r="B106" s="3" t="s">
        <v>144</v>
      </c>
      <c r="D106" s="3" t="s">
        <v>145</v>
      </c>
      <c r="F106" s="4">
        <v>539954</v>
      </c>
      <c r="G106" s="4"/>
      <c r="H106" s="4">
        <v>186956</v>
      </c>
      <c r="I106" s="4"/>
      <c r="J106" s="4">
        <v>154273</v>
      </c>
      <c r="K106" s="4"/>
      <c r="L106" s="4">
        <v>150260</v>
      </c>
      <c r="M106" s="4"/>
      <c r="N106" s="4">
        <v>0</v>
      </c>
      <c r="O106" s="4"/>
      <c r="P106" s="4">
        <v>31106</v>
      </c>
      <c r="Q106" s="4"/>
      <c r="R106" s="4">
        <v>4788</v>
      </c>
      <c r="S106" s="4"/>
      <c r="T106" s="4">
        <v>57994</v>
      </c>
      <c r="U106" s="4"/>
      <c r="V106" s="4">
        <v>0</v>
      </c>
      <c r="W106" s="4"/>
      <c r="X106" s="4">
        <v>0</v>
      </c>
      <c r="Y106" s="4"/>
      <c r="Z106" s="4">
        <v>0</v>
      </c>
      <c r="AA106" s="4"/>
      <c r="AB106" s="4">
        <v>0</v>
      </c>
      <c r="AC106" s="4"/>
      <c r="AD106" s="4">
        <v>0</v>
      </c>
      <c r="AE106" s="4"/>
      <c r="AF106" s="4">
        <f>SUM(F106:AD106)</f>
        <v>1125331</v>
      </c>
      <c r="AO106" s="3">
        <f>+AO105+6837.16</f>
        <v>6837.16</v>
      </c>
      <c r="AR106" s="3">
        <v>23.2</v>
      </c>
    </row>
    <row r="107" spans="1:64">
      <c r="A107" s="4">
        <v>90</v>
      </c>
      <c r="B107" s="3" t="s">
        <v>146</v>
      </c>
      <c r="D107" s="3" t="s">
        <v>17</v>
      </c>
      <c r="F107" s="4">
        <v>3119917</v>
      </c>
      <c r="G107" s="4"/>
      <c r="H107" s="4">
        <v>769343</v>
      </c>
      <c r="I107" s="4"/>
      <c r="J107" s="4">
        <v>820200</v>
      </c>
      <c r="K107" s="4"/>
      <c r="L107" s="4">
        <v>924083</v>
      </c>
      <c r="M107" s="4"/>
      <c r="N107" s="4">
        <v>0</v>
      </c>
      <c r="O107" s="4"/>
      <c r="P107" s="4">
        <v>176015</v>
      </c>
      <c r="Q107" s="4"/>
      <c r="R107" s="4">
        <v>17044</v>
      </c>
      <c r="S107" s="4"/>
      <c r="T107" s="4">
        <v>166302</v>
      </c>
      <c r="U107" s="4"/>
      <c r="V107" s="4">
        <v>0</v>
      </c>
      <c r="W107" s="4"/>
      <c r="X107" s="4">
        <v>0</v>
      </c>
      <c r="Y107" s="4"/>
      <c r="Z107" s="4">
        <v>497923</v>
      </c>
      <c r="AA107" s="4"/>
      <c r="AB107" s="4">
        <v>0</v>
      </c>
      <c r="AC107" s="4"/>
      <c r="AD107" s="4">
        <v>0</v>
      </c>
      <c r="AE107" s="4"/>
      <c r="AF107" s="4">
        <f>SUM(F107:AD107)</f>
        <v>6490827</v>
      </c>
    </row>
    <row r="108" spans="1:64">
      <c r="A108" s="4">
        <v>170</v>
      </c>
      <c r="B108" s="35" t="s">
        <v>147</v>
      </c>
      <c r="C108" s="35"/>
      <c r="D108" s="35" t="s">
        <v>497</v>
      </c>
      <c r="E108" s="35"/>
      <c r="F108" s="4">
        <v>435174</v>
      </c>
      <c r="G108" s="35"/>
      <c r="H108" s="4">
        <v>118021</v>
      </c>
      <c r="I108" s="35"/>
      <c r="J108" s="4">
        <v>85094</v>
      </c>
      <c r="K108" s="35"/>
      <c r="L108" s="4">
        <v>72083</v>
      </c>
      <c r="M108" s="35"/>
      <c r="N108" s="4">
        <v>0</v>
      </c>
      <c r="O108" s="35"/>
      <c r="P108" s="4">
        <v>21843</v>
      </c>
      <c r="Q108" s="35"/>
      <c r="R108" s="4">
        <v>6175</v>
      </c>
      <c r="S108" s="35"/>
      <c r="T108" s="4">
        <v>6613</v>
      </c>
      <c r="U108" s="35"/>
      <c r="V108" s="4">
        <v>0</v>
      </c>
      <c r="W108" s="35"/>
      <c r="X108" s="4">
        <v>0</v>
      </c>
      <c r="Y108" s="35"/>
      <c r="Z108" s="4">
        <v>25000</v>
      </c>
      <c r="AA108" s="35"/>
      <c r="AB108" s="4">
        <v>0</v>
      </c>
      <c r="AC108" s="35"/>
      <c r="AD108" s="4">
        <v>0</v>
      </c>
      <c r="AE108" s="35"/>
      <c r="AF108" s="4">
        <f>SUM(F108:AD108)</f>
        <v>770003</v>
      </c>
    </row>
    <row r="109" spans="1:64" s="4" customFormat="1">
      <c r="A109" s="4">
        <v>224</v>
      </c>
      <c r="B109" s="3" t="s">
        <v>34</v>
      </c>
      <c r="C109" s="3"/>
      <c r="D109" s="3" t="s">
        <v>56</v>
      </c>
      <c r="E109" s="3"/>
      <c r="F109" s="4">
        <v>443577</v>
      </c>
      <c r="H109" s="4">
        <v>168192</v>
      </c>
      <c r="J109" s="4">
        <v>90170</v>
      </c>
      <c r="L109" s="4">
        <v>105662</v>
      </c>
      <c r="N109" s="4">
        <v>0</v>
      </c>
      <c r="P109" s="4">
        <v>21444</v>
      </c>
      <c r="R109" s="4">
        <v>8598</v>
      </c>
      <c r="T109" s="4">
        <v>26096</v>
      </c>
      <c r="V109" s="4">
        <v>0</v>
      </c>
      <c r="X109" s="4">
        <v>0</v>
      </c>
      <c r="Z109" s="4">
        <v>0</v>
      </c>
      <c r="AB109" s="4">
        <v>0</v>
      </c>
      <c r="AD109" s="4">
        <v>0</v>
      </c>
      <c r="AF109" s="4">
        <f>SUM(F109:AD109)</f>
        <v>863739</v>
      </c>
      <c r="AR109" s="4">
        <v>2845</v>
      </c>
    </row>
    <row r="110" spans="1:64" s="7" customFormat="1">
      <c r="A110" s="4">
        <v>143</v>
      </c>
      <c r="B110" s="3" t="s">
        <v>148</v>
      </c>
      <c r="C110" s="3"/>
      <c r="D110" s="3" t="s">
        <v>57</v>
      </c>
      <c r="E110" s="3"/>
      <c r="F110" s="4">
        <v>335009</v>
      </c>
      <c r="G110" s="4"/>
      <c r="H110" s="4">
        <v>102534</v>
      </c>
      <c r="I110" s="4"/>
      <c r="J110" s="4">
        <v>104120</v>
      </c>
      <c r="K110" s="4"/>
      <c r="L110" s="4">
        <v>102221</v>
      </c>
      <c r="M110" s="4"/>
      <c r="N110" s="4">
        <v>0</v>
      </c>
      <c r="O110" s="4"/>
      <c r="P110" s="4">
        <v>10289</v>
      </c>
      <c r="Q110" s="4"/>
      <c r="R110" s="4">
        <v>3755</v>
      </c>
      <c r="S110" s="4"/>
      <c r="T110" s="4">
        <v>5401</v>
      </c>
      <c r="U110" s="4"/>
      <c r="V110" s="4">
        <v>0</v>
      </c>
      <c r="W110" s="4"/>
      <c r="X110" s="4">
        <v>0</v>
      </c>
      <c r="Y110" s="4"/>
      <c r="Z110" s="4">
        <v>0</v>
      </c>
      <c r="AA110" s="4"/>
      <c r="AB110" s="4">
        <v>0</v>
      </c>
      <c r="AC110" s="4"/>
      <c r="AD110" s="4">
        <v>0</v>
      </c>
      <c r="AE110" s="4"/>
      <c r="AF110" s="4">
        <f>SUM(F110:AD110)</f>
        <v>663329</v>
      </c>
      <c r="AR110" s="7">
        <v>10653.53</v>
      </c>
    </row>
    <row r="111" spans="1:64">
      <c r="A111" s="4">
        <v>11</v>
      </c>
      <c r="B111" s="35" t="s">
        <v>304</v>
      </c>
      <c r="C111" s="35"/>
      <c r="D111" s="35" t="s">
        <v>471</v>
      </c>
      <c r="E111" s="35"/>
      <c r="F111" s="4">
        <v>103109</v>
      </c>
      <c r="G111" s="35"/>
      <c r="H111" s="4">
        <v>16167</v>
      </c>
      <c r="I111" s="35"/>
      <c r="J111" s="4">
        <v>37662</v>
      </c>
      <c r="K111" s="35"/>
      <c r="L111" s="4">
        <v>28170</v>
      </c>
      <c r="M111" s="35"/>
      <c r="N111" s="4">
        <v>0</v>
      </c>
      <c r="O111" s="35"/>
      <c r="P111" s="4">
        <v>8971</v>
      </c>
      <c r="Q111" s="35"/>
      <c r="R111" s="4">
        <v>6857</v>
      </c>
      <c r="S111" s="35"/>
      <c r="T111" s="4">
        <v>3355</v>
      </c>
      <c r="U111" s="35"/>
      <c r="V111" s="4">
        <v>0</v>
      </c>
      <c r="W111" s="35"/>
      <c r="X111" s="4">
        <v>0</v>
      </c>
      <c r="Y111" s="35"/>
      <c r="Z111" s="4">
        <v>0</v>
      </c>
      <c r="AA111" s="35"/>
      <c r="AB111" s="4">
        <v>0</v>
      </c>
      <c r="AC111" s="35"/>
      <c r="AD111" s="4">
        <v>2479</v>
      </c>
      <c r="AE111" s="35"/>
      <c r="AF111" s="4">
        <f>SUM(F111:AD111)</f>
        <v>206770</v>
      </c>
    </row>
    <row r="112" spans="1:64">
      <c r="A112" s="4">
        <v>77</v>
      </c>
      <c r="B112" s="3" t="s">
        <v>149</v>
      </c>
      <c r="D112" s="3" t="s">
        <v>92</v>
      </c>
      <c r="F112" s="4">
        <v>1360850</v>
      </c>
      <c r="G112" s="4"/>
      <c r="H112" s="4">
        <v>498729</v>
      </c>
      <c r="I112" s="4"/>
      <c r="J112" s="4">
        <v>485780</v>
      </c>
      <c r="K112" s="4"/>
      <c r="L112" s="4">
        <v>306592</v>
      </c>
      <c r="M112" s="4"/>
      <c r="N112" s="4">
        <v>0</v>
      </c>
      <c r="O112" s="4"/>
      <c r="P112" s="4">
        <v>59207</v>
      </c>
      <c r="Q112" s="4"/>
      <c r="R112" s="4">
        <v>9484</v>
      </c>
      <c r="S112" s="4"/>
      <c r="T112" s="4">
        <v>74272</v>
      </c>
      <c r="U112" s="4"/>
      <c r="V112" s="4">
        <v>0</v>
      </c>
      <c r="W112" s="4"/>
      <c r="X112" s="4">
        <v>0</v>
      </c>
      <c r="Y112" s="4"/>
      <c r="Z112" s="4">
        <v>200000</v>
      </c>
      <c r="AA112" s="4"/>
      <c r="AB112" s="4">
        <v>0</v>
      </c>
      <c r="AC112" s="4"/>
      <c r="AD112" s="4">
        <v>0</v>
      </c>
      <c r="AE112" s="4"/>
      <c r="AF112" s="4">
        <f>SUM(F112:AD112)</f>
        <v>2994914</v>
      </c>
    </row>
    <row r="113" spans="1:64">
      <c r="A113" s="4">
        <v>132</v>
      </c>
      <c r="B113" s="3" t="s">
        <v>150</v>
      </c>
      <c r="D113" s="3" t="s">
        <v>41</v>
      </c>
      <c r="F113" s="4">
        <v>456037</v>
      </c>
      <c r="G113" s="4"/>
      <c r="H113" s="4">
        <v>136771</v>
      </c>
      <c r="I113" s="4"/>
      <c r="J113" s="4">
        <v>136680</v>
      </c>
      <c r="K113" s="4"/>
      <c r="L113" s="4">
        <v>108839</v>
      </c>
      <c r="M113" s="4"/>
      <c r="N113" s="4">
        <v>0</v>
      </c>
      <c r="O113" s="4"/>
      <c r="P113" s="4">
        <v>10546</v>
      </c>
      <c r="Q113" s="4"/>
      <c r="R113" s="4">
        <v>2771</v>
      </c>
      <c r="S113" s="4"/>
      <c r="T113" s="4">
        <v>4771</v>
      </c>
      <c r="U113" s="4"/>
      <c r="V113" s="4">
        <v>0</v>
      </c>
      <c r="W113" s="4"/>
      <c r="X113" s="4">
        <v>0</v>
      </c>
      <c r="Y113" s="4"/>
      <c r="Z113" s="4">
        <v>44336</v>
      </c>
      <c r="AA113" s="4"/>
      <c r="AB113" s="4">
        <v>0</v>
      </c>
      <c r="AC113" s="4"/>
      <c r="AD113" s="4">
        <v>0</v>
      </c>
      <c r="AE113" s="4"/>
      <c r="AF113" s="4">
        <f>SUM(F113:AD113)</f>
        <v>900751</v>
      </c>
    </row>
    <row r="114" spans="1:64">
      <c r="A114" s="4">
        <v>91</v>
      </c>
      <c r="B114" s="3" t="s">
        <v>600</v>
      </c>
      <c r="D114" s="3" t="s">
        <v>152</v>
      </c>
      <c r="F114" s="4">
        <f>647511+1471826+347472</f>
        <v>2466809</v>
      </c>
      <c r="G114" s="4"/>
      <c r="H114" s="4">
        <v>0</v>
      </c>
      <c r="I114" s="4"/>
      <c r="J114" s="4">
        <v>0</v>
      </c>
      <c r="K114" s="4"/>
      <c r="L114" s="4">
        <f>3683358+1766002</f>
        <v>5449360</v>
      </c>
      <c r="M114" s="4"/>
      <c r="N114" s="4">
        <v>619880</v>
      </c>
      <c r="O114" s="4"/>
      <c r="P114" s="4">
        <v>0</v>
      </c>
      <c r="Q114" s="4"/>
      <c r="R114" s="4">
        <v>0</v>
      </c>
      <c r="S114" s="4"/>
      <c r="T114" s="4">
        <v>133029</v>
      </c>
      <c r="U114" s="4"/>
      <c r="V114" s="4">
        <v>0</v>
      </c>
      <c r="W114" s="4"/>
      <c r="X114" s="4">
        <v>0</v>
      </c>
      <c r="Y114" s="4"/>
      <c r="Z114" s="4">
        <v>200000</v>
      </c>
      <c r="AA114" s="4"/>
      <c r="AB114" s="4">
        <v>0</v>
      </c>
      <c r="AC114" s="4"/>
      <c r="AD114" s="4">
        <v>0</v>
      </c>
      <c r="AE114" s="4"/>
      <c r="AF114" s="4">
        <f>SUM(F114:AD114)</f>
        <v>8869078</v>
      </c>
    </row>
    <row r="115" spans="1:64">
      <c r="A115" s="4">
        <v>59</v>
      </c>
      <c r="B115" s="3" t="s">
        <v>153</v>
      </c>
      <c r="D115" s="3" t="s">
        <v>81</v>
      </c>
      <c r="F115" s="4">
        <v>499452</v>
      </c>
      <c r="G115" s="4"/>
      <c r="H115" s="4">
        <v>64100</v>
      </c>
      <c r="I115" s="4"/>
      <c r="J115" s="4">
        <v>92965</v>
      </c>
      <c r="K115" s="4"/>
      <c r="L115" s="4">
        <v>100153</v>
      </c>
      <c r="M115" s="4"/>
      <c r="N115" s="4">
        <v>0</v>
      </c>
      <c r="O115" s="4"/>
      <c r="P115" s="4">
        <v>27500</v>
      </c>
      <c r="Q115" s="4"/>
      <c r="R115" s="4">
        <v>5571</v>
      </c>
      <c r="S115" s="4"/>
      <c r="T115" s="4">
        <v>1126330</v>
      </c>
      <c r="U115" s="4"/>
      <c r="V115" s="4">
        <v>0</v>
      </c>
      <c r="W115" s="4"/>
      <c r="X115" s="4">
        <v>90000</v>
      </c>
      <c r="Y115" s="4"/>
      <c r="Z115" s="4">
        <v>50251</v>
      </c>
      <c r="AA115" s="4"/>
      <c r="AB115" s="4">
        <v>0</v>
      </c>
      <c r="AC115" s="4"/>
      <c r="AD115" s="4">
        <v>4961</v>
      </c>
      <c r="AE115" s="4"/>
      <c r="AF115" s="4">
        <f>SUM(F115:AD115)</f>
        <v>2061283</v>
      </c>
    </row>
    <row r="116" spans="1:64">
      <c r="A116" s="4">
        <v>92</v>
      </c>
      <c r="B116" s="3" t="s">
        <v>601</v>
      </c>
      <c r="D116" s="3" t="s">
        <v>154</v>
      </c>
      <c r="F116" s="4">
        <v>816553</v>
      </c>
      <c r="G116" s="4"/>
      <c r="H116" s="4">
        <v>332581</v>
      </c>
      <c r="I116" s="4"/>
      <c r="J116" s="4">
        <v>224337</v>
      </c>
      <c r="K116" s="4"/>
      <c r="L116" s="4">
        <v>330297</v>
      </c>
      <c r="M116" s="4"/>
      <c r="N116" s="4">
        <v>0</v>
      </c>
      <c r="O116" s="4"/>
      <c r="P116" s="4">
        <v>44385</v>
      </c>
      <c r="Q116" s="4"/>
      <c r="R116" s="4">
        <v>8286</v>
      </c>
      <c r="S116" s="4"/>
      <c r="T116" s="4">
        <v>10521</v>
      </c>
      <c r="U116" s="4"/>
      <c r="V116" s="4">
        <v>0</v>
      </c>
      <c r="W116" s="4"/>
      <c r="X116" s="4">
        <v>0</v>
      </c>
      <c r="Y116" s="4"/>
      <c r="Z116" s="4">
        <v>0</v>
      </c>
      <c r="AA116" s="4"/>
      <c r="AB116" s="4">
        <v>0</v>
      </c>
      <c r="AC116" s="4"/>
      <c r="AD116" s="4">
        <v>0</v>
      </c>
      <c r="AE116" s="4"/>
      <c r="AF116" s="4">
        <f>SUM(F116:AD116)</f>
        <v>1766960</v>
      </c>
      <c r="AG116" s="51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4"/>
    </row>
    <row r="117" spans="1:64">
      <c r="A117" s="4">
        <v>12</v>
      </c>
      <c r="B117" s="35" t="s">
        <v>155</v>
      </c>
      <c r="C117" s="35"/>
      <c r="D117" s="35" t="s">
        <v>471</v>
      </c>
      <c r="E117" s="35"/>
      <c r="F117" s="4">
        <v>241786</v>
      </c>
      <c r="G117" s="35"/>
      <c r="H117" s="4">
        <v>61315</v>
      </c>
      <c r="I117" s="35"/>
      <c r="J117" s="4">
        <v>85147</v>
      </c>
      <c r="K117" s="35"/>
      <c r="L117" s="4">
        <v>41659</v>
      </c>
      <c r="M117" s="35"/>
      <c r="N117" s="4">
        <v>0</v>
      </c>
      <c r="O117" s="35"/>
      <c r="P117" s="4">
        <v>11076</v>
      </c>
      <c r="Q117" s="35"/>
      <c r="R117" s="4">
        <v>2953</v>
      </c>
      <c r="S117" s="35"/>
      <c r="T117" s="4">
        <v>0</v>
      </c>
      <c r="U117" s="35"/>
      <c r="V117" s="4">
        <v>0</v>
      </c>
      <c r="W117" s="35"/>
      <c r="X117" s="4">
        <v>0</v>
      </c>
      <c r="Y117" s="35"/>
      <c r="Z117" s="4">
        <v>97624</v>
      </c>
      <c r="AA117" s="35"/>
      <c r="AB117" s="4">
        <v>0</v>
      </c>
      <c r="AC117" s="35"/>
      <c r="AD117" s="4">
        <v>0</v>
      </c>
      <c r="AE117" s="35"/>
      <c r="AF117" s="4">
        <f>SUM(F117:AD117)</f>
        <v>541560</v>
      </c>
    </row>
    <row r="118" spans="1:64">
      <c r="A118" s="4">
        <v>98</v>
      </c>
      <c r="B118" s="3" t="s">
        <v>156</v>
      </c>
      <c r="D118" s="3" t="s">
        <v>61</v>
      </c>
      <c r="F118" s="4">
        <v>36281</v>
      </c>
      <c r="G118" s="4"/>
      <c r="H118" s="4">
        <v>5573</v>
      </c>
      <c r="I118" s="4"/>
      <c r="J118" s="4">
        <v>26709</v>
      </c>
      <c r="K118" s="4"/>
      <c r="L118" s="4">
        <f>15412</f>
        <v>15412</v>
      </c>
      <c r="M118" s="4"/>
      <c r="N118" s="4">
        <v>0</v>
      </c>
      <c r="O118" s="4"/>
      <c r="P118" s="4">
        <v>2724</v>
      </c>
      <c r="Q118" s="4"/>
      <c r="R118" s="4">
        <v>75</v>
      </c>
      <c r="S118" s="4"/>
      <c r="T118" s="4">
        <v>11624</v>
      </c>
      <c r="U118" s="4"/>
      <c r="V118" s="4">
        <v>0</v>
      </c>
      <c r="W118" s="4"/>
      <c r="X118" s="4">
        <v>0</v>
      </c>
      <c r="Y118" s="4"/>
      <c r="Z118" s="4">
        <v>0</v>
      </c>
      <c r="AA118" s="4"/>
      <c r="AB118" s="4">
        <v>0</v>
      </c>
      <c r="AC118" s="4"/>
      <c r="AD118" s="4">
        <v>0</v>
      </c>
      <c r="AE118" s="4"/>
      <c r="AF118" s="4">
        <f>SUM(F118:AD118)</f>
        <v>98398</v>
      </c>
      <c r="AG118" s="51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4"/>
    </row>
    <row r="119" spans="1:64">
      <c r="A119" s="4">
        <v>181</v>
      </c>
      <c r="B119" s="3" t="s">
        <v>157</v>
      </c>
      <c r="D119" s="3" t="s">
        <v>158</v>
      </c>
      <c r="F119" s="4">
        <v>286201</v>
      </c>
      <c r="G119" s="4"/>
      <c r="H119" s="4">
        <v>61027</v>
      </c>
      <c r="I119" s="4"/>
      <c r="J119" s="4">
        <v>78274</v>
      </c>
      <c r="K119" s="4"/>
      <c r="L119" s="4">
        <f>62935</f>
        <v>62935</v>
      </c>
      <c r="M119" s="4"/>
      <c r="N119" s="4">
        <v>0</v>
      </c>
      <c r="O119" s="4"/>
      <c r="P119" s="4">
        <v>16807</v>
      </c>
      <c r="Q119" s="4"/>
      <c r="R119" s="4">
        <v>16689</v>
      </c>
      <c r="S119" s="4"/>
      <c r="T119" s="4">
        <v>3063</v>
      </c>
      <c r="U119" s="4"/>
      <c r="V119" s="4">
        <v>0</v>
      </c>
      <c r="W119" s="4"/>
      <c r="X119" s="4">
        <v>0</v>
      </c>
      <c r="Y119" s="4"/>
      <c r="Z119" s="4">
        <v>0</v>
      </c>
      <c r="AA119" s="4"/>
      <c r="AB119" s="4">
        <v>0</v>
      </c>
      <c r="AC119" s="4"/>
      <c r="AD119" s="4">
        <v>0</v>
      </c>
      <c r="AE119" s="4"/>
      <c r="AF119" s="4">
        <f>SUM(F119:AD119)</f>
        <v>524996</v>
      </c>
      <c r="AG119" s="51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4"/>
    </row>
    <row r="120" spans="1:64">
      <c r="A120" s="4">
        <v>13</v>
      </c>
      <c r="B120" s="4" t="s">
        <v>305</v>
      </c>
      <c r="C120" s="35"/>
      <c r="D120" s="35" t="s">
        <v>471</v>
      </c>
      <c r="E120" s="35"/>
      <c r="F120" s="4">
        <v>201718</v>
      </c>
      <c r="G120" s="35"/>
      <c r="H120" s="4">
        <v>52179</v>
      </c>
      <c r="I120" s="35"/>
      <c r="J120" s="4">
        <v>75830</v>
      </c>
      <c r="K120" s="35"/>
      <c r="L120" s="4">
        <v>71018</v>
      </c>
      <c r="M120" s="35"/>
      <c r="N120" s="4">
        <v>0</v>
      </c>
      <c r="O120" s="35"/>
      <c r="P120" s="4">
        <v>9794</v>
      </c>
      <c r="Q120" s="35"/>
      <c r="R120" s="4">
        <v>4605</v>
      </c>
      <c r="S120" s="35"/>
      <c r="T120" s="4">
        <v>11716</v>
      </c>
      <c r="U120" s="35"/>
      <c r="V120" s="4">
        <v>0</v>
      </c>
      <c r="W120" s="35"/>
      <c r="X120" s="4">
        <v>0</v>
      </c>
      <c r="Y120" s="35"/>
      <c r="Z120" s="4">
        <v>2500</v>
      </c>
      <c r="AA120" s="35"/>
      <c r="AB120" s="4">
        <v>0</v>
      </c>
      <c r="AC120" s="35"/>
      <c r="AD120" s="4">
        <v>0</v>
      </c>
      <c r="AE120" s="35"/>
      <c r="AF120" s="4">
        <f>SUM(F120:AD120)</f>
        <v>429360</v>
      </c>
      <c r="AG120" s="51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4"/>
    </row>
    <row r="121" spans="1:64">
      <c r="A121" s="4">
        <v>239</v>
      </c>
      <c r="B121" s="3" t="s">
        <v>159</v>
      </c>
      <c r="D121" s="3" t="s">
        <v>160</v>
      </c>
      <c r="F121" s="4">
        <v>225554</v>
      </c>
      <c r="G121" s="4"/>
      <c r="H121" s="4">
        <v>74907</v>
      </c>
      <c r="I121" s="4"/>
      <c r="J121" s="4">
        <v>52373</v>
      </c>
      <c r="K121" s="4"/>
      <c r="L121" s="4">
        <f>54129</f>
        <v>54129</v>
      </c>
      <c r="M121" s="4"/>
      <c r="N121" s="4">
        <v>0</v>
      </c>
      <c r="O121" s="4"/>
      <c r="P121" s="4">
        <v>18108</v>
      </c>
      <c r="Q121" s="4"/>
      <c r="R121" s="4">
        <v>1970</v>
      </c>
      <c r="S121" s="4"/>
      <c r="T121" s="4">
        <v>11711</v>
      </c>
      <c r="U121" s="4"/>
      <c r="V121" s="4">
        <v>0</v>
      </c>
      <c r="W121" s="4"/>
      <c r="X121" s="4">
        <v>0</v>
      </c>
      <c r="Y121" s="4"/>
      <c r="Z121" s="4">
        <v>200000</v>
      </c>
      <c r="AA121" s="4"/>
      <c r="AB121" s="4">
        <v>0</v>
      </c>
      <c r="AC121" s="4"/>
      <c r="AD121" s="4">
        <v>0</v>
      </c>
      <c r="AE121" s="4"/>
      <c r="AF121" s="4">
        <f>SUM(F121:AD121)</f>
        <v>638752</v>
      </c>
    </row>
    <row r="122" spans="1:64">
      <c r="A122" s="4">
        <v>144</v>
      </c>
      <c r="B122" s="3" t="s">
        <v>36</v>
      </c>
      <c r="D122" s="3" t="s">
        <v>57</v>
      </c>
      <c r="F122" s="4">
        <v>249085</v>
      </c>
      <c r="G122" s="4"/>
      <c r="H122" s="4">
        <v>75175</v>
      </c>
      <c r="I122" s="4"/>
      <c r="J122" s="4">
        <v>76219</v>
      </c>
      <c r="K122" s="4"/>
      <c r="L122" s="4">
        <v>57916</v>
      </c>
      <c r="M122" s="4"/>
      <c r="N122" s="4">
        <v>0</v>
      </c>
      <c r="O122" s="4"/>
      <c r="P122" s="4">
        <v>9080</v>
      </c>
      <c r="Q122" s="4"/>
      <c r="R122" s="4">
        <v>1965</v>
      </c>
      <c r="S122" s="4"/>
      <c r="T122" s="4">
        <v>5354</v>
      </c>
      <c r="U122" s="4"/>
      <c r="V122" s="4">
        <v>0</v>
      </c>
      <c r="W122" s="4"/>
      <c r="X122" s="4">
        <v>0</v>
      </c>
      <c r="Y122" s="4"/>
      <c r="Z122" s="4">
        <v>21740</v>
      </c>
      <c r="AA122" s="4"/>
      <c r="AB122" s="4">
        <v>0</v>
      </c>
      <c r="AC122" s="4"/>
      <c r="AD122" s="4">
        <v>0</v>
      </c>
      <c r="AE122" s="4"/>
      <c r="AF122" s="4">
        <f>SUM(F122:AD122)</f>
        <v>496534</v>
      </c>
    </row>
    <row r="123" spans="1:64">
      <c r="A123" s="4">
        <v>107</v>
      </c>
      <c r="B123" s="3" t="s">
        <v>161</v>
      </c>
      <c r="D123" s="3" t="s">
        <v>58</v>
      </c>
      <c r="F123" s="4">
        <v>705020</v>
      </c>
      <c r="G123" s="4"/>
      <c r="H123" s="4">
        <v>185629</v>
      </c>
      <c r="I123" s="4"/>
      <c r="J123" s="4">
        <v>201246</v>
      </c>
      <c r="K123" s="4"/>
      <c r="L123" s="4">
        <v>220418</v>
      </c>
      <c r="M123" s="4"/>
      <c r="N123" s="4">
        <v>0</v>
      </c>
      <c r="O123" s="4"/>
      <c r="P123" s="4">
        <v>22684</v>
      </c>
      <c r="Q123" s="4"/>
      <c r="R123" s="4">
        <v>11124</v>
      </c>
      <c r="S123" s="4"/>
      <c r="T123" s="4">
        <v>40832</v>
      </c>
      <c r="U123" s="4"/>
      <c r="V123" s="4">
        <v>0</v>
      </c>
      <c r="W123" s="4"/>
      <c r="X123" s="4">
        <v>0</v>
      </c>
      <c r="Y123" s="4"/>
      <c r="Z123" s="4">
        <v>165</v>
      </c>
      <c r="AA123" s="4"/>
      <c r="AB123" s="4">
        <v>0</v>
      </c>
      <c r="AC123" s="4"/>
      <c r="AD123" s="4">
        <v>0</v>
      </c>
      <c r="AE123" s="4"/>
      <c r="AF123" s="4">
        <f>SUM(F123:AD123)</f>
        <v>1387118</v>
      </c>
    </row>
    <row r="124" spans="1:64">
      <c r="A124" s="4">
        <v>103</v>
      </c>
      <c r="B124" s="3" t="s">
        <v>162</v>
      </c>
      <c r="D124" s="3" t="s">
        <v>60</v>
      </c>
      <c r="F124" s="4">
        <v>65487</v>
      </c>
      <c r="G124" s="4"/>
      <c r="H124" s="4">
        <v>10049</v>
      </c>
      <c r="I124" s="4"/>
      <c r="J124" s="4">
        <v>18772</v>
      </c>
      <c r="K124" s="4"/>
      <c r="L124" s="4">
        <f>37438</f>
        <v>37438</v>
      </c>
      <c r="M124" s="4"/>
      <c r="N124" s="4">
        <v>0</v>
      </c>
      <c r="O124" s="4"/>
      <c r="P124" s="4">
        <v>7072</v>
      </c>
      <c r="Q124" s="4"/>
      <c r="R124" s="4">
        <v>15396.22</v>
      </c>
      <c r="S124" s="4"/>
      <c r="T124" s="4">
        <v>0</v>
      </c>
      <c r="U124" s="4"/>
      <c r="V124" s="4">
        <v>0</v>
      </c>
      <c r="W124" s="4"/>
      <c r="X124" s="4">
        <v>0</v>
      </c>
      <c r="Y124" s="4"/>
      <c r="Z124" s="4">
        <v>0</v>
      </c>
      <c r="AA124" s="4"/>
      <c r="AB124" s="4">
        <v>0</v>
      </c>
      <c r="AC124" s="4"/>
      <c r="AD124" s="4">
        <v>0</v>
      </c>
      <c r="AE124" s="4"/>
      <c r="AF124" s="4">
        <f>SUM(F124:AD124)</f>
        <v>154214.22</v>
      </c>
    </row>
    <row r="125" spans="1:64">
      <c r="A125" s="4">
        <v>109</v>
      </c>
      <c r="B125" s="3" t="s">
        <v>602</v>
      </c>
      <c r="D125" s="3" t="s">
        <v>163</v>
      </c>
      <c r="F125" s="4">
        <v>746843</v>
      </c>
      <c r="G125" s="4"/>
      <c r="H125" s="4">
        <v>199252</v>
      </c>
      <c r="I125" s="4"/>
      <c r="J125" s="4">
        <v>195729</v>
      </c>
      <c r="K125" s="4"/>
      <c r="L125" s="4">
        <v>176509</v>
      </c>
      <c r="M125" s="4"/>
      <c r="N125" s="4">
        <v>0</v>
      </c>
      <c r="O125" s="4"/>
      <c r="P125" s="4">
        <v>43090</v>
      </c>
      <c r="Q125" s="4"/>
      <c r="R125" s="4">
        <v>8807</v>
      </c>
      <c r="S125" s="4"/>
      <c r="T125" s="4">
        <v>6324</v>
      </c>
      <c r="U125" s="4"/>
      <c r="V125" s="4">
        <v>0</v>
      </c>
      <c r="W125" s="4"/>
      <c r="X125" s="4">
        <v>0</v>
      </c>
      <c r="Y125" s="4"/>
      <c r="Z125" s="4">
        <v>25000</v>
      </c>
      <c r="AA125" s="4"/>
      <c r="AB125" s="4">
        <v>0</v>
      </c>
      <c r="AC125" s="4"/>
      <c r="AD125" s="4">
        <v>0</v>
      </c>
      <c r="AE125" s="4"/>
      <c r="AF125" s="4">
        <f>SUM(F125:AD125)</f>
        <v>1401554</v>
      </c>
    </row>
    <row r="126" spans="1:64">
      <c r="A126" s="4">
        <v>133</v>
      </c>
      <c r="B126" s="3" t="s">
        <v>306</v>
      </c>
      <c r="D126" s="3" t="s">
        <v>41</v>
      </c>
      <c r="F126" s="4">
        <v>127014</v>
      </c>
      <c r="G126" s="4"/>
      <c r="H126" s="4">
        <v>21393</v>
      </c>
      <c r="I126" s="4"/>
      <c r="J126" s="4">
        <v>34372</v>
      </c>
      <c r="K126" s="4"/>
      <c r="L126" s="4">
        <v>32654</v>
      </c>
      <c r="M126" s="4"/>
      <c r="N126" s="4">
        <v>0</v>
      </c>
      <c r="O126" s="4"/>
      <c r="P126" s="4">
        <v>5939</v>
      </c>
      <c r="Q126" s="4"/>
      <c r="R126" s="4">
        <v>780</v>
      </c>
      <c r="S126" s="4"/>
      <c r="T126" s="4">
        <v>7998</v>
      </c>
      <c r="U126" s="4"/>
      <c r="V126" s="4">
        <v>0</v>
      </c>
      <c r="W126" s="4"/>
      <c r="X126" s="4">
        <v>0</v>
      </c>
      <c r="Y126" s="4"/>
      <c r="Z126" s="4">
        <v>0</v>
      </c>
      <c r="AA126" s="4"/>
      <c r="AB126" s="4">
        <v>0</v>
      </c>
      <c r="AC126" s="4"/>
      <c r="AD126" s="4">
        <v>0</v>
      </c>
      <c r="AE126" s="4"/>
      <c r="AF126" s="4">
        <f>SUM(F126:AD126)</f>
        <v>230150</v>
      </c>
      <c r="AG126" s="51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4"/>
    </row>
    <row r="127" spans="1:64">
      <c r="A127" s="4">
        <v>225</v>
      </c>
      <c r="B127" s="3" t="s">
        <v>164</v>
      </c>
      <c r="D127" s="3" t="s">
        <v>56</v>
      </c>
      <c r="F127" s="4">
        <v>483596</v>
      </c>
      <c r="G127" s="4"/>
      <c r="H127" s="4">
        <v>165823</v>
      </c>
      <c r="I127" s="4"/>
      <c r="J127" s="4">
        <v>86809</v>
      </c>
      <c r="K127" s="4"/>
      <c r="L127" s="4">
        <v>110711</v>
      </c>
      <c r="M127" s="4"/>
      <c r="N127" s="4">
        <v>0</v>
      </c>
      <c r="O127" s="4"/>
      <c r="P127" s="4">
        <v>22031</v>
      </c>
      <c r="Q127" s="4"/>
      <c r="R127" s="4">
        <v>2255</v>
      </c>
      <c r="S127" s="4"/>
      <c r="T127" s="4">
        <v>4964</v>
      </c>
      <c r="U127" s="4"/>
      <c r="V127" s="4">
        <v>0</v>
      </c>
      <c r="W127" s="4"/>
      <c r="X127" s="4">
        <v>0</v>
      </c>
      <c r="Y127" s="4"/>
      <c r="Z127" s="4">
        <v>0</v>
      </c>
      <c r="AA127" s="4"/>
      <c r="AB127" s="4">
        <v>0</v>
      </c>
      <c r="AC127" s="4"/>
      <c r="AD127" s="4">
        <v>0</v>
      </c>
      <c r="AE127" s="4"/>
      <c r="AF127" s="4">
        <f>SUM(F127:AD127)</f>
        <v>876189</v>
      </c>
    </row>
    <row r="128" spans="1:64">
      <c r="A128" s="4">
        <v>218</v>
      </c>
      <c r="B128" s="3" t="s">
        <v>337</v>
      </c>
      <c r="D128" s="3" t="s">
        <v>22</v>
      </c>
      <c r="F128" s="4">
        <v>1143555</v>
      </c>
      <c r="G128" s="4"/>
      <c r="H128" s="4">
        <v>288725</v>
      </c>
      <c r="I128" s="4"/>
      <c r="J128" s="4">
        <v>425663</v>
      </c>
      <c r="K128" s="4"/>
      <c r="L128" s="4">
        <f>293462</f>
        <v>293462</v>
      </c>
      <c r="M128" s="4"/>
      <c r="N128" s="4">
        <v>0</v>
      </c>
      <c r="O128" s="4"/>
      <c r="P128" s="4">
        <v>48559</v>
      </c>
      <c r="Q128" s="4"/>
      <c r="R128" s="4">
        <v>2988</v>
      </c>
      <c r="S128" s="4"/>
      <c r="T128" s="4">
        <v>127917</v>
      </c>
      <c r="U128" s="4"/>
      <c r="V128" s="4">
        <v>0</v>
      </c>
      <c r="W128" s="4"/>
      <c r="X128" s="4">
        <v>0</v>
      </c>
      <c r="Y128" s="4"/>
      <c r="Z128" s="4">
        <v>90000</v>
      </c>
      <c r="AA128" s="4"/>
      <c r="AB128" s="4">
        <v>0</v>
      </c>
      <c r="AC128" s="4"/>
      <c r="AD128" s="4">
        <v>0</v>
      </c>
      <c r="AE128" s="4"/>
      <c r="AF128" s="4">
        <f>SUM(F128:AD128)</f>
        <v>2420869</v>
      </c>
      <c r="AG128" s="51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4"/>
    </row>
    <row r="129" spans="1:64">
      <c r="A129" s="4">
        <v>66</v>
      </c>
      <c r="B129" s="3" t="s">
        <v>166</v>
      </c>
      <c r="D129" s="3" t="s">
        <v>167</v>
      </c>
      <c r="F129" s="4">
        <v>412914</v>
      </c>
      <c r="G129" s="4"/>
      <c r="H129" s="4">
        <v>123653</v>
      </c>
      <c r="I129" s="4"/>
      <c r="J129" s="4">
        <v>180013</v>
      </c>
      <c r="K129" s="4"/>
      <c r="L129" s="4">
        <f>63508</f>
        <v>63508</v>
      </c>
      <c r="M129" s="4"/>
      <c r="N129" s="4">
        <v>0</v>
      </c>
      <c r="O129" s="4"/>
      <c r="P129" s="4">
        <v>21269</v>
      </c>
      <c r="Q129" s="4"/>
      <c r="R129" s="4">
        <v>2722</v>
      </c>
      <c r="S129" s="4"/>
      <c r="T129" s="4">
        <v>0</v>
      </c>
      <c r="U129" s="4"/>
      <c r="V129" s="4">
        <v>0</v>
      </c>
      <c r="W129" s="4"/>
      <c r="X129" s="4">
        <v>0</v>
      </c>
      <c r="Y129" s="4"/>
      <c r="Z129" s="4">
        <v>0</v>
      </c>
      <c r="AA129" s="4"/>
      <c r="AB129" s="4">
        <v>0</v>
      </c>
      <c r="AC129" s="4"/>
      <c r="AD129" s="4">
        <v>0</v>
      </c>
      <c r="AE129" s="4"/>
      <c r="AF129" s="4">
        <f>SUM(F129:AD129)</f>
        <v>804079</v>
      </c>
      <c r="AG129" s="51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4"/>
    </row>
    <row r="130" spans="1:64">
      <c r="A130" s="4">
        <v>148</v>
      </c>
      <c r="B130" s="3" t="s">
        <v>37</v>
      </c>
      <c r="D130" s="3" t="s">
        <v>12</v>
      </c>
      <c r="F130" s="4">
        <v>214274</v>
      </c>
      <c r="G130" s="4"/>
      <c r="H130" s="4">
        <v>32453</v>
      </c>
      <c r="I130" s="4"/>
      <c r="J130" s="4">
        <v>56470</v>
      </c>
      <c r="K130" s="4"/>
      <c r="L130" s="4">
        <v>56761</v>
      </c>
      <c r="M130" s="4"/>
      <c r="N130" s="4">
        <v>0</v>
      </c>
      <c r="O130" s="4"/>
      <c r="P130" s="4">
        <v>6114</v>
      </c>
      <c r="Q130" s="4"/>
      <c r="R130" s="4">
        <v>2699</v>
      </c>
      <c r="S130" s="4"/>
      <c r="T130" s="4">
        <v>406</v>
      </c>
      <c r="U130" s="4"/>
      <c r="V130" s="4">
        <v>30000</v>
      </c>
      <c r="W130" s="4"/>
      <c r="X130" s="4">
        <v>53593</v>
      </c>
      <c r="Y130" s="4"/>
      <c r="Z130" s="4">
        <v>0</v>
      </c>
      <c r="AA130" s="4"/>
      <c r="AB130" s="4">
        <v>0</v>
      </c>
      <c r="AC130" s="4"/>
      <c r="AD130" s="4">
        <v>0</v>
      </c>
      <c r="AE130" s="4"/>
      <c r="AF130" s="4">
        <f>SUM(F130:AD130)</f>
        <v>452770</v>
      </c>
    </row>
    <row r="131" spans="1:64">
      <c r="A131" s="4">
        <v>182</v>
      </c>
      <c r="B131" s="3" t="s">
        <v>168</v>
      </c>
      <c r="D131" s="3" t="s">
        <v>158</v>
      </c>
      <c r="F131" s="4">
        <v>424752</v>
      </c>
      <c r="G131" s="4"/>
      <c r="H131" s="4">
        <v>111792</v>
      </c>
      <c r="I131" s="4"/>
      <c r="J131" s="4">
        <v>110570</v>
      </c>
      <c r="K131" s="4"/>
      <c r="L131" s="4">
        <f>186215</f>
        <v>186215</v>
      </c>
      <c r="M131" s="4"/>
      <c r="N131" s="4">
        <v>0</v>
      </c>
      <c r="O131" s="4"/>
      <c r="P131" s="4">
        <v>18234</v>
      </c>
      <c r="Q131" s="4"/>
      <c r="R131" s="4">
        <v>4902</v>
      </c>
      <c r="S131" s="4"/>
      <c r="T131" s="4">
        <v>12593</v>
      </c>
      <c r="U131" s="4"/>
      <c r="V131" s="4">
        <v>0</v>
      </c>
      <c r="W131" s="4"/>
      <c r="X131" s="4">
        <v>0</v>
      </c>
      <c r="Y131" s="4"/>
      <c r="Z131" s="4">
        <v>0</v>
      </c>
      <c r="AA131" s="4"/>
      <c r="AB131" s="4">
        <v>0</v>
      </c>
      <c r="AC131" s="4"/>
      <c r="AD131" s="4">
        <v>0</v>
      </c>
      <c r="AE131" s="4"/>
      <c r="AF131" s="4">
        <f>SUM(F131:AD131)</f>
        <v>869058</v>
      </c>
      <c r="AG131" s="51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4"/>
    </row>
    <row r="132" spans="1:64">
      <c r="A132" s="4">
        <v>164</v>
      </c>
      <c r="B132" s="35" t="s">
        <v>339</v>
      </c>
      <c r="C132" s="35"/>
      <c r="D132" s="35" t="s">
        <v>494</v>
      </c>
      <c r="E132" s="35"/>
      <c r="F132" s="4">
        <v>142537</v>
      </c>
      <c r="G132" s="35"/>
      <c r="H132" s="4">
        <v>21843</v>
      </c>
      <c r="I132" s="35"/>
      <c r="J132" s="4">
        <v>34805</v>
      </c>
      <c r="K132" s="35"/>
      <c r="L132" s="4">
        <v>35231</v>
      </c>
      <c r="M132" s="35"/>
      <c r="N132" s="4">
        <v>0</v>
      </c>
      <c r="O132" s="35"/>
      <c r="P132" s="4">
        <v>5020</v>
      </c>
      <c r="Q132" s="35"/>
      <c r="R132" s="4">
        <v>862</v>
      </c>
      <c r="S132" s="35"/>
      <c r="T132" s="4">
        <v>51600</v>
      </c>
      <c r="U132" s="35"/>
      <c r="V132" s="4">
        <v>0</v>
      </c>
      <c r="W132" s="35"/>
      <c r="X132" s="4">
        <v>0</v>
      </c>
      <c r="Y132" s="35"/>
      <c r="Z132" s="4">
        <v>0</v>
      </c>
      <c r="AA132" s="35"/>
      <c r="AB132" s="4">
        <v>0</v>
      </c>
      <c r="AC132" s="35"/>
      <c r="AD132" s="4">
        <v>0</v>
      </c>
      <c r="AE132" s="35"/>
      <c r="AF132" s="4">
        <f>SUM(F132:AD132)</f>
        <v>291898</v>
      </c>
    </row>
    <row r="133" spans="1:64">
      <c r="A133" s="4">
        <v>115</v>
      </c>
      <c r="B133" s="3" t="s">
        <v>169</v>
      </c>
      <c r="D133" s="3" t="s">
        <v>170</v>
      </c>
      <c r="F133" s="4">
        <v>244107</v>
      </c>
      <c r="G133" s="4"/>
      <c r="H133" s="4">
        <v>120674</v>
      </c>
      <c r="I133" s="4"/>
      <c r="J133" s="4">
        <v>59767</v>
      </c>
      <c r="K133" s="4"/>
      <c r="L133" s="4">
        <v>66580</v>
      </c>
      <c r="M133" s="4"/>
      <c r="N133" s="4">
        <v>0</v>
      </c>
      <c r="O133" s="4"/>
      <c r="P133" s="4">
        <v>15782</v>
      </c>
      <c r="Q133" s="4"/>
      <c r="R133" s="4">
        <v>1330</v>
      </c>
      <c r="S133" s="4"/>
      <c r="T133" s="4">
        <v>14651</v>
      </c>
      <c r="U133" s="4"/>
      <c r="V133" s="4">
        <v>0</v>
      </c>
      <c r="W133" s="4"/>
      <c r="X133" s="4">
        <v>0</v>
      </c>
      <c r="Y133" s="4"/>
      <c r="Z133" s="4">
        <v>0</v>
      </c>
      <c r="AA133" s="4"/>
      <c r="AB133" s="4">
        <v>0</v>
      </c>
      <c r="AC133" s="4"/>
      <c r="AD133" s="4">
        <v>0</v>
      </c>
      <c r="AE133" s="4"/>
      <c r="AF133" s="4">
        <f>SUM(F133:AD133)</f>
        <v>522891</v>
      </c>
    </row>
    <row r="134" spans="1:64">
      <c r="A134" s="4">
        <v>173</v>
      </c>
      <c r="B134" s="3" t="s">
        <v>338</v>
      </c>
      <c r="D134" s="3" t="s">
        <v>59</v>
      </c>
      <c r="F134" s="4">
        <v>292682</v>
      </c>
      <c r="G134" s="4"/>
      <c r="H134" s="4">
        <v>95675</v>
      </c>
      <c r="I134" s="4"/>
      <c r="J134" s="4">
        <v>104381</v>
      </c>
      <c r="K134" s="4"/>
      <c r="L134" s="4">
        <v>47301</v>
      </c>
      <c r="M134" s="4"/>
      <c r="N134" s="4">
        <v>0</v>
      </c>
      <c r="O134" s="4"/>
      <c r="P134" s="4">
        <v>19121</v>
      </c>
      <c r="Q134" s="4"/>
      <c r="R134" s="4">
        <v>3336</v>
      </c>
      <c r="S134" s="4"/>
      <c r="T134" s="4">
        <v>4487</v>
      </c>
      <c r="U134" s="4"/>
      <c r="V134" s="4">
        <v>0</v>
      </c>
      <c r="W134" s="4"/>
      <c r="X134" s="4">
        <v>0</v>
      </c>
      <c r="Y134" s="4"/>
      <c r="Z134" s="4">
        <v>0</v>
      </c>
      <c r="AA134" s="4"/>
      <c r="AB134" s="4">
        <v>0</v>
      </c>
      <c r="AC134" s="4"/>
      <c r="AD134" s="4">
        <v>0</v>
      </c>
      <c r="AE134" s="4"/>
      <c r="AF134" s="4">
        <f>SUM(F134:AD134)</f>
        <v>566983</v>
      </c>
    </row>
    <row r="135" spans="1:64">
      <c r="A135" s="4">
        <v>205</v>
      </c>
      <c r="B135" s="3" t="s">
        <v>171</v>
      </c>
      <c r="D135" s="3" t="s">
        <v>45</v>
      </c>
      <c r="F135" s="4">
        <f>416640+63589+57862</f>
        <v>538091</v>
      </c>
      <c r="G135" s="4"/>
      <c r="H135" s="4">
        <v>0</v>
      </c>
      <c r="I135" s="4"/>
      <c r="J135" s="4">
        <f>980+7494+2800+8965+525+30142+5797</f>
        <v>56703</v>
      </c>
      <c r="K135" s="4"/>
      <c r="L135" s="4">
        <f>67888+10261+20148+34715+75+968</f>
        <v>134055</v>
      </c>
      <c r="M135" s="4"/>
      <c r="N135" s="4">
        <v>0</v>
      </c>
      <c r="O135" s="4"/>
      <c r="P135" s="4">
        <f>1941+44</f>
        <v>1985</v>
      </c>
      <c r="Q135" s="4"/>
      <c r="R135" s="4">
        <v>3383</v>
      </c>
      <c r="S135" s="4"/>
      <c r="T135" s="4">
        <f>3084+14917</f>
        <v>18001</v>
      </c>
      <c r="U135" s="4"/>
      <c r="V135" s="4">
        <v>0</v>
      </c>
      <c r="W135" s="4"/>
      <c r="X135" s="4">
        <v>0</v>
      </c>
      <c r="Y135" s="4"/>
      <c r="Z135" s="4">
        <v>0</v>
      </c>
      <c r="AA135" s="4"/>
      <c r="AB135" s="4">
        <v>0</v>
      </c>
      <c r="AC135" s="4"/>
      <c r="AD135" s="4">
        <v>0</v>
      </c>
      <c r="AE135" s="4"/>
      <c r="AF135" s="4">
        <f>SUM(F135:AD135)</f>
        <v>752218</v>
      </c>
    </row>
    <row r="136" spans="1:64">
      <c r="A136" s="4">
        <v>191</v>
      </c>
      <c r="B136" s="3" t="s">
        <v>172</v>
      </c>
      <c r="D136" s="3" t="s">
        <v>173</v>
      </c>
      <c r="F136" s="4">
        <v>832665</v>
      </c>
      <c r="G136" s="4"/>
      <c r="H136" s="4">
        <v>206429</v>
      </c>
      <c r="I136" s="4"/>
      <c r="J136" s="4">
        <v>346062</v>
      </c>
      <c r="K136" s="4"/>
      <c r="L136" s="4">
        <v>270378</v>
      </c>
      <c r="M136" s="4"/>
      <c r="N136" s="4">
        <v>0</v>
      </c>
      <c r="O136" s="4"/>
      <c r="P136" s="4">
        <v>71149</v>
      </c>
      <c r="Q136" s="4"/>
      <c r="R136" s="4">
        <v>15355</v>
      </c>
      <c r="S136" s="4"/>
      <c r="T136" s="4">
        <v>50633</v>
      </c>
      <c r="U136" s="4"/>
      <c r="V136" s="4">
        <v>0</v>
      </c>
      <c r="W136" s="4"/>
      <c r="X136" s="4">
        <v>0</v>
      </c>
      <c r="Y136" s="4"/>
      <c r="Z136" s="4">
        <v>10000</v>
      </c>
      <c r="AA136" s="4"/>
      <c r="AB136" s="4">
        <v>0</v>
      </c>
      <c r="AC136" s="4"/>
      <c r="AD136" s="4">
        <v>0</v>
      </c>
      <c r="AE136" s="4"/>
      <c r="AF136" s="4">
        <f>SUM(F136:AD136)</f>
        <v>1802671</v>
      </c>
    </row>
    <row r="137" spans="1:64">
      <c r="A137" s="4">
        <v>14</v>
      </c>
      <c r="B137" s="35" t="s">
        <v>174</v>
      </c>
      <c r="C137" s="35"/>
      <c r="D137" s="35" t="s">
        <v>471</v>
      </c>
      <c r="E137" s="35"/>
      <c r="F137" s="4">
        <v>224655</v>
      </c>
      <c r="G137" s="35"/>
      <c r="H137" s="4">
        <v>34986</v>
      </c>
      <c r="I137" s="35"/>
      <c r="J137" s="4">
        <v>53013</v>
      </c>
      <c r="K137" s="35"/>
      <c r="L137" s="4">
        <v>75448</v>
      </c>
      <c r="M137" s="35"/>
      <c r="N137" s="4">
        <v>0</v>
      </c>
      <c r="O137" s="35"/>
      <c r="P137" s="4">
        <v>19956</v>
      </c>
      <c r="Q137" s="35"/>
      <c r="R137" s="4">
        <v>8477</v>
      </c>
      <c r="S137" s="35"/>
      <c r="T137" s="4">
        <v>11271</v>
      </c>
      <c r="U137" s="35"/>
      <c r="V137" s="4">
        <v>0</v>
      </c>
      <c r="W137" s="35"/>
      <c r="X137" s="4">
        <v>0</v>
      </c>
      <c r="Y137" s="35"/>
      <c r="Z137" s="4">
        <v>0</v>
      </c>
      <c r="AA137" s="35"/>
      <c r="AB137" s="4">
        <v>0</v>
      </c>
      <c r="AC137" s="35"/>
      <c r="AD137" s="4">
        <v>0</v>
      </c>
      <c r="AE137" s="35"/>
      <c r="AF137" s="4">
        <f>SUM(F137:AD137)</f>
        <v>427806</v>
      </c>
    </row>
    <row r="138" spans="1:64">
      <c r="A138" s="4">
        <v>226</v>
      </c>
      <c r="B138" s="3" t="s">
        <v>175</v>
      </c>
      <c r="D138" s="3" t="s">
        <v>56</v>
      </c>
      <c r="F138" s="4">
        <v>270744</v>
      </c>
      <c r="G138" s="4"/>
      <c r="H138" s="4">
        <v>82986</v>
      </c>
      <c r="I138" s="4"/>
      <c r="J138" s="4">
        <v>77103</v>
      </c>
      <c r="K138" s="4"/>
      <c r="L138" s="4">
        <v>98144</v>
      </c>
      <c r="M138" s="4"/>
      <c r="N138" s="4">
        <v>0</v>
      </c>
      <c r="O138" s="4"/>
      <c r="P138" s="4">
        <v>18934</v>
      </c>
      <c r="Q138" s="4"/>
      <c r="R138" s="4">
        <v>7150</v>
      </c>
      <c r="S138" s="4"/>
      <c r="T138" s="4">
        <v>10862</v>
      </c>
      <c r="U138" s="4"/>
      <c r="V138" s="4">
        <v>0</v>
      </c>
      <c r="W138" s="4"/>
      <c r="X138" s="4">
        <v>0</v>
      </c>
      <c r="Y138" s="4"/>
      <c r="Z138" s="4">
        <v>0</v>
      </c>
      <c r="AA138" s="4"/>
      <c r="AB138" s="4">
        <v>0</v>
      </c>
      <c r="AC138" s="4"/>
      <c r="AD138" s="4">
        <v>0</v>
      </c>
      <c r="AE138" s="4"/>
      <c r="AF138" s="4">
        <f>SUM(F138:AD138)</f>
        <v>565923</v>
      </c>
      <c r="AI138" s="4"/>
    </row>
    <row r="139" spans="1:64">
      <c r="A139" s="4">
        <v>124</v>
      </c>
      <c r="B139" s="3" t="s">
        <v>176</v>
      </c>
      <c r="D139" s="3" t="s">
        <v>15</v>
      </c>
      <c r="F139" s="4">
        <v>370619</v>
      </c>
      <c r="G139" s="4"/>
      <c r="H139" s="4">
        <v>73544</v>
      </c>
      <c r="I139" s="4"/>
      <c r="J139" s="4">
        <v>116354</v>
      </c>
      <c r="K139" s="4"/>
      <c r="L139" s="4">
        <v>126800</v>
      </c>
      <c r="M139" s="4"/>
      <c r="N139" s="4">
        <v>0</v>
      </c>
      <c r="O139" s="4"/>
      <c r="P139" s="4">
        <v>15160</v>
      </c>
      <c r="Q139" s="4"/>
      <c r="R139" s="4">
        <v>5965</v>
      </c>
      <c r="S139" s="4"/>
      <c r="T139" s="4">
        <v>46484</v>
      </c>
      <c r="U139" s="4"/>
      <c r="V139" s="4">
        <v>0</v>
      </c>
      <c r="W139" s="4"/>
      <c r="X139" s="4">
        <v>0</v>
      </c>
      <c r="Y139" s="4"/>
      <c r="Z139" s="4">
        <v>0</v>
      </c>
      <c r="AA139" s="4"/>
      <c r="AB139" s="4">
        <v>0</v>
      </c>
      <c r="AC139" s="4"/>
      <c r="AD139" s="4">
        <v>0</v>
      </c>
      <c r="AE139" s="4"/>
      <c r="AF139" s="4">
        <f>SUM(F139:AD139)</f>
        <v>754926</v>
      </c>
      <c r="AH139" s="52"/>
      <c r="AI139" s="52"/>
      <c r="AJ139" s="52"/>
      <c r="AK139" s="52"/>
    </row>
    <row r="140" spans="1:64">
      <c r="A140" s="4">
        <v>54</v>
      </c>
      <c r="B140" s="12" t="s">
        <v>438</v>
      </c>
      <c r="C140" s="15"/>
      <c r="D140" s="15" t="s">
        <v>19</v>
      </c>
      <c r="E140" s="15"/>
      <c r="F140" s="4">
        <f>523674+50082</f>
        <v>573756</v>
      </c>
      <c r="G140" s="15"/>
      <c r="H140" s="4">
        <v>0</v>
      </c>
      <c r="I140" s="15"/>
      <c r="J140" s="4">
        <v>0</v>
      </c>
      <c r="K140" s="15"/>
      <c r="L140" s="4">
        <v>1578865</v>
      </c>
      <c r="M140" s="15"/>
      <c r="N140" s="4">
        <v>702433</v>
      </c>
      <c r="O140" s="15"/>
      <c r="P140" s="4">
        <v>0</v>
      </c>
      <c r="Q140" s="15"/>
      <c r="R140" s="4">
        <v>1672277</v>
      </c>
      <c r="S140" s="15"/>
      <c r="T140" s="4">
        <v>254280</v>
      </c>
      <c r="U140" s="15"/>
      <c r="V140" s="4">
        <v>0</v>
      </c>
      <c r="W140" s="15"/>
      <c r="X140" s="4">
        <v>0</v>
      </c>
      <c r="Y140" s="15"/>
      <c r="Z140" s="4">
        <v>1000000</v>
      </c>
      <c r="AA140" s="15"/>
      <c r="AB140" s="4">
        <v>0</v>
      </c>
      <c r="AC140" s="15"/>
      <c r="AD140" s="4">
        <v>0</v>
      </c>
      <c r="AE140" s="15"/>
      <c r="AF140" s="4">
        <f>SUM(F140:AD140)</f>
        <v>5781611</v>
      </c>
    </row>
    <row r="141" spans="1:64">
      <c r="A141" s="4">
        <v>25</v>
      </c>
      <c r="B141" s="3" t="s">
        <v>9</v>
      </c>
      <c r="D141" s="3" t="s">
        <v>10</v>
      </c>
      <c r="F141" s="4">
        <f>1644567+221811+758681</f>
        <v>2625059</v>
      </c>
      <c r="G141" s="4"/>
      <c r="H141" s="4">
        <v>0</v>
      </c>
      <c r="I141" s="4"/>
      <c r="J141" s="4">
        <v>0</v>
      </c>
      <c r="K141" s="4"/>
      <c r="L141" s="4">
        <f>2978565</f>
        <v>2978565</v>
      </c>
      <c r="M141" s="4"/>
      <c r="N141" s="4">
        <v>605265</v>
      </c>
      <c r="O141" s="4"/>
      <c r="P141" s="4">
        <v>0</v>
      </c>
      <c r="Q141" s="4"/>
      <c r="R141" s="4">
        <v>0</v>
      </c>
      <c r="S141" s="4"/>
      <c r="T141" s="4">
        <v>84646</v>
      </c>
      <c r="U141" s="4"/>
      <c r="V141" s="4">
        <v>0</v>
      </c>
      <c r="W141" s="4"/>
      <c r="X141" s="4">
        <v>0</v>
      </c>
      <c r="Y141" s="4"/>
      <c r="Z141" s="4">
        <v>0</v>
      </c>
      <c r="AA141" s="4"/>
      <c r="AB141" s="4">
        <v>0</v>
      </c>
      <c r="AC141" s="4"/>
      <c r="AD141" s="4">
        <v>0</v>
      </c>
      <c r="AE141" s="4"/>
      <c r="AF141" s="4">
        <f>SUM(F141:AD141)</f>
        <v>6293535</v>
      </c>
      <c r="AG141" s="51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4"/>
    </row>
    <row r="142" spans="1:64">
      <c r="A142" s="4">
        <v>241</v>
      </c>
      <c r="B142" s="3" t="s">
        <v>177</v>
      </c>
      <c r="D142" s="3" t="s">
        <v>54</v>
      </c>
      <c r="F142" s="4">
        <v>447237</v>
      </c>
      <c r="G142" s="4"/>
      <c r="H142" s="4">
        <v>173007</v>
      </c>
      <c r="I142" s="4"/>
      <c r="J142" s="4">
        <v>93564</v>
      </c>
      <c r="K142" s="4"/>
      <c r="L142" s="4">
        <v>297145</v>
      </c>
      <c r="M142" s="4"/>
      <c r="N142" s="4">
        <v>0</v>
      </c>
      <c r="O142" s="4"/>
      <c r="P142" s="4">
        <v>51928</v>
      </c>
      <c r="Q142" s="4"/>
      <c r="R142" s="4">
        <v>11481</v>
      </c>
      <c r="S142" s="4"/>
      <c r="T142" s="4">
        <v>19324</v>
      </c>
      <c r="U142" s="4"/>
      <c r="V142" s="4">
        <v>0</v>
      </c>
      <c r="W142" s="4"/>
      <c r="X142" s="4">
        <v>0</v>
      </c>
      <c r="Y142" s="4"/>
      <c r="Z142" s="4">
        <v>0</v>
      </c>
      <c r="AA142" s="4"/>
      <c r="AB142" s="4">
        <v>0</v>
      </c>
      <c r="AC142" s="4"/>
      <c r="AD142" s="4">
        <v>0</v>
      </c>
      <c r="AE142" s="4"/>
      <c r="AF142" s="4">
        <f>SUM(F142:AD142)</f>
        <v>1093686</v>
      </c>
      <c r="AG142" s="51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4"/>
    </row>
    <row r="143" spans="1:64">
      <c r="A143" s="4">
        <v>41</v>
      </c>
      <c r="B143" s="35" t="s">
        <v>307</v>
      </c>
      <c r="C143" s="35"/>
      <c r="D143" s="35" t="s">
        <v>481</v>
      </c>
      <c r="E143" s="35"/>
      <c r="F143" s="4">
        <v>108133</v>
      </c>
      <c r="G143" s="35"/>
      <c r="H143" s="4">
        <v>44018</v>
      </c>
      <c r="I143" s="35"/>
      <c r="J143" s="4">
        <v>46143</v>
      </c>
      <c r="K143" s="35"/>
      <c r="L143" s="4">
        <v>41944</v>
      </c>
      <c r="M143" s="35"/>
      <c r="N143" s="4">
        <v>0</v>
      </c>
      <c r="O143" s="35"/>
      <c r="P143" s="4">
        <v>7126</v>
      </c>
      <c r="Q143" s="35"/>
      <c r="R143" s="4">
        <v>5268</v>
      </c>
      <c r="S143" s="35"/>
      <c r="T143" s="4">
        <v>1214</v>
      </c>
      <c r="U143" s="35"/>
      <c r="V143" s="4">
        <v>0</v>
      </c>
      <c r="W143" s="35"/>
      <c r="X143" s="4">
        <v>0</v>
      </c>
      <c r="Y143" s="35"/>
      <c r="Z143" s="4">
        <v>104995</v>
      </c>
      <c r="AA143" s="35"/>
      <c r="AB143" s="4">
        <v>0</v>
      </c>
      <c r="AC143" s="35"/>
      <c r="AD143" s="4">
        <v>0</v>
      </c>
      <c r="AE143" s="35"/>
      <c r="AF143" s="4">
        <f>SUM(F143:AD143)</f>
        <v>358841</v>
      </c>
    </row>
    <row r="144" spans="1:64" s="4" customFormat="1">
      <c r="A144" s="4">
        <v>42</v>
      </c>
      <c r="B144" s="3" t="s">
        <v>178</v>
      </c>
      <c r="C144" s="3"/>
      <c r="D144" s="3" t="s">
        <v>51</v>
      </c>
      <c r="E144" s="3"/>
      <c r="F144" s="4">
        <v>267887</v>
      </c>
      <c r="H144" s="4">
        <v>104096</v>
      </c>
      <c r="J144" s="4">
        <v>54599</v>
      </c>
      <c r="L144" s="4">
        <v>89534</v>
      </c>
      <c r="N144" s="4">
        <v>0</v>
      </c>
      <c r="P144" s="4">
        <v>25396</v>
      </c>
      <c r="R144" s="4">
        <v>8103</v>
      </c>
      <c r="T144" s="4">
        <v>97389</v>
      </c>
      <c r="V144" s="4">
        <v>0</v>
      </c>
      <c r="X144" s="4">
        <v>0</v>
      </c>
      <c r="Z144" s="4">
        <v>0</v>
      </c>
      <c r="AB144" s="4">
        <v>0</v>
      </c>
      <c r="AD144" s="4">
        <v>0</v>
      </c>
      <c r="AF144" s="4">
        <f>SUM(F144:AD144)</f>
        <v>647004</v>
      </c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s="4" customFormat="1">
      <c r="A145" s="4">
        <v>104</v>
      </c>
      <c r="B145" s="3" t="s">
        <v>179</v>
      </c>
      <c r="C145" s="3"/>
      <c r="D145" s="3" t="s">
        <v>60</v>
      </c>
      <c r="E145" s="3"/>
      <c r="F145" s="4">
        <v>78358</v>
      </c>
      <c r="H145" s="4">
        <v>30777</v>
      </c>
      <c r="J145" s="4">
        <v>36009</v>
      </c>
      <c r="L145" s="4">
        <v>22925</v>
      </c>
      <c r="N145" s="4">
        <v>0</v>
      </c>
      <c r="P145" s="4">
        <v>4075</v>
      </c>
      <c r="R145" s="4">
        <v>1900</v>
      </c>
      <c r="T145" s="4">
        <v>291</v>
      </c>
      <c r="V145" s="4">
        <v>12638</v>
      </c>
      <c r="X145" s="4">
        <v>9936</v>
      </c>
      <c r="Z145" s="4">
        <v>0</v>
      </c>
      <c r="AB145" s="4">
        <v>0</v>
      </c>
      <c r="AD145" s="4">
        <v>0</v>
      </c>
      <c r="AF145" s="4">
        <f>SUM(F145:AD145)</f>
        <v>196909</v>
      </c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s="4" customFormat="1">
      <c r="A146" s="4">
        <v>134</v>
      </c>
      <c r="B146" s="3" t="s">
        <v>574</v>
      </c>
      <c r="C146" s="3"/>
      <c r="D146" s="3" t="s">
        <v>41</v>
      </c>
      <c r="E146" s="3"/>
      <c r="F146" s="4">
        <v>2403617</v>
      </c>
      <c r="H146" s="4">
        <v>691287</v>
      </c>
      <c r="J146" s="4">
        <v>478117</v>
      </c>
      <c r="L146" s="4">
        <f>438370</f>
        <v>438370</v>
      </c>
      <c r="N146" s="4">
        <v>0</v>
      </c>
      <c r="P146" s="4">
        <v>53702</v>
      </c>
      <c r="R146" s="4">
        <v>11774</v>
      </c>
      <c r="T146" s="4">
        <v>22294</v>
      </c>
      <c r="V146" s="4">
        <v>0</v>
      </c>
      <c r="X146" s="4">
        <v>0</v>
      </c>
      <c r="Z146" s="4">
        <v>0</v>
      </c>
      <c r="AB146" s="4">
        <v>0</v>
      </c>
      <c r="AD146" s="4">
        <v>0</v>
      </c>
      <c r="AF146" s="4">
        <f>SUM(F146:AD146)</f>
        <v>4099161</v>
      </c>
      <c r="AG146" s="51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</row>
    <row r="147" spans="1:64" s="4" customFormat="1">
      <c r="A147" s="4">
        <v>5</v>
      </c>
      <c r="B147" s="3" t="s">
        <v>180</v>
      </c>
      <c r="C147" s="3"/>
      <c r="D147" s="3" t="s">
        <v>97</v>
      </c>
      <c r="E147" s="3"/>
      <c r="F147" s="4">
        <v>2327047</v>
      </c>
      <c r="H147" s="4">
        <v>751056</v>
      </c>
      <c r="J147" s="4">
        <v>414856</v>
      </c>
      <c r="L147" s="4">
        <f>444756</f>
        <v>444756</v>
      </c>
      <c r="N147" s="4">
        <v>0</v>
      </c>
      <c r="P147" s="4">
        <f>84544</f>
        <v>84544</v>
      </c>
      <c r="R147" s="4">
        <v>25563</v>
      </c>
      <c r="T147" s="4">
        <v>0</v>
      </c>
      <c r="V147" s="4">
        <v>0</v>
      </c>
      <c r="X147" s="4">
        <v>0</v>
      </c>
      <c r="Z147" s="4">
        <v>0</v>
      </c>
      <c r="AB147" s="4">
        <v>0</v>
      </c>
      <c r="AD147" s="4">
        <v>0</v>
      </c>
      <c r="AF147" s="4">
        <f>SUM(F147:AD147)</f>
        <v>4047822</v>
      </c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s="4" customFormat="1">
      <c r="A148" s="4">
        <v>139</v>
      </c>
      <c r="B148" s="3" t="s">
        <v>575</v>
      </c>
      <c r="C148" s="3"/>
      <c r="D148" s="3" t="s">
        <v>87</v>
      </c>
      <c r="E148" s="3"/>
      <c r="F148" s="4">
        <v>1042743</v>
      </c>
      <c r="H148" s="4">
        <v>0</v>
      </c>
      <c r="J148" s="4">
        <v>231032</v>
      </c>
      <c r="L148" s="4">
        <f>258104</f>
        <v>258104</v>
      </c>
      <c r="N148" s="4">
        <v>0</v>
      </c>
      <c r="P148" s="4">
        <v>42952</v>
      </c>
      <c r="R148" s="4">
        <v>7043</v>
      </c>
      <c r="T148" s="4">
        <v>100202</v>
      </c>
      <c r="V148" s="4">
        <v>0</v>
      </c>
      <c r="X148" s="4">
        <v>0</v>
      </c>
      <c r="Z148" s="4">
        <v>0</v>
      </c>
      <c r="AB148" s="4">
        <v>0</v>
      </c>
      <c r="AD148" s="4">
        <v>0</v>
      </c>
      <c r="AF148" s="4">
        <f>SUM(F148:AD148)</f>
        <v>1682076</v>
      </c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s="4" customFormat="1">
      <c r="A149" s="4">
        <v>108</v>
      </c>
      <c r="B149" s="3" t="s">
        <v>576</v>
      </c>
      <c r="C149" s="3"/>
      <c r="D149" s="3" t="s">
        <v>181</v>
      </c>
      <c r="E149" s="3"/>
      <c r="F149" s="4">
        <v>308202</v>
      </c>
      <c r="H149" s="4">
        <v>115964</v>
      </c>
      <c r="J149" s="4">
        <v>109457</v>
      </c>
      <c r="L149" s="4">
        <f>261236</f>
        <v>261236</v>
      </c>
      <c r="N149" s="4">
        <v>0</v>
      </c>
      <c r="P149" s="4">
        <v>41082</v>
      </c>
      <c r="R149" s="4">
        <v>3808</v>
      </c>
      <c r="T149" s="4">
        <v>12506</v>
      </c>
      <c r="V149" s="4">
        <v>0</v>
      </c>
      <c r="X149" s="4">
        <v>0</v>
      </c>
      <c r="Z149" s="4">
        <v>0</v>
      </c>
      <c r="AB149" s="4">
        <v>0</v>
      </c>
      <c r="AD149" s="4">
        <v>0</v>
      </c>
      <c r="AF149" s="4">
        <f>SUM(F149:AD149)</f>
        <v>852255</v>
      </c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s="4" customFormat="1">
      <c r="A150" s="4">
        <v>149</v>
      </c>
      <c r="B150" s="3" t="s">
        <v>11</v>
      </c>
      <c r="C150" s="3"/>
      <c r="D150" s="3" t="s">
        <v>12</v>
      </c>
      <c r="E150" s="3"/>
      <c r="F150" s="4">
        <v>538513</v>
      </c>
      <c r="H150" s="4">
        <v>0</v>
      </c>
      <c r="J150" s="4">
        <v>120559</v>
      </c>
      <c r="L150" s="4">
        <v>131072</v>
      </c>
      <c r="N150" s="4">
        <v>0</v>
      </c>
      <c r="P150" s="4">
        <v>28588</v>
      </c>
      <c r="R150" s="4">
        <v>2286</v>
      </c>
      <c r="T150" s="4">
        <v>34785</v>
      </c>
      <c r="V150" s="4">
        <v>0</v>
      </c>
      <c r="X150" s="4">
        <v>0</v>
      </c>
      <c r="Z150" s="4">
        <v>189150</v>
      </c>
      <c r="AB150" s="4">
        <v>0</v>
      </c>
      <c r="AD150" s="4">
        <v>0</v>
      </c>
      <c r="AF150" s="4">
        <f>SUM(F150:AD150)</f>
        <v>1044953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s="4" customFormat="1">
      <c r="A151" s="4">
        <v>7</v>
      </c>
      <c r="B151" s="3" t="s">
        <v>565</v>
      </c>
      <c r="C151" s="3"/>
      <c r="D151" s="3" t="s">
        <v>83</v>
      </c>
      <c r="E151" s="3"/>
      <c r="F151" s="4">
        <v>482870</v>
      </c>
      <c r="H151" s="4">
        <v>0</v>
      </c>
      <c r="J151" s="4">
        <v>120526</v>
      </c>
      <c r="L151" s="4">
        <v>91249</v>
      </c>
      <c r="N151" s="4">
        <v>0</v>
      </c>
      <c r="P151" s="4">
        <v>0</v>
      </c>
      <c r="R151" s="4">
        <v>0</v>
      </c>
      <c r="T151" s="4">
        <v>11016</v>
      </c>
      <c r="V151" s="4">
        <v>7516</v>
      </c>
      <c r="X151" s="4">
        <v>3419</v>
      </c>
      <c r="Z151" s="4">
        <v>0</v>
      </c>
      <c r="AB151" s="4">
        <v>0</v>
      </c>
      <c r="AD151" s="4">
        <v>0</v>
      </c>
      <c r="AF151" s="4">
        <f>SUM(F151:AD151)</f>
        <v>716596</v>
      </c>
      <c r="AG151" s="51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</row>
    <row r="152" spans="1:64" s="4" customFormat="1">
      <c r="A152" s="4">
        <v>145</v>
      </c>
      <c r="B152" s="3" t="s">
        <v>182</v>
      </c>
      <c r="C152" s="3"/>
      <c r="D152" s="3" t="s">
        <v>57</v>
      </c>
      <c r="E152" s="3"/>
      <c r="F152" s="4">
        <v>0</v>
      </c>
      <c r="H152" s="4">
        <v>0</v>
      </c>
      <c r="J152" s="4">
        <v>297191</v>
      </c>
      <c r="L152" s="4">
        <v>2309628</v>
      </c>
      <c r="N152" s="4">
        <v>33966</v>
      </c>
      <c r="P152" s="4">
        <v>0</v>
      </c>
      <c r="R152" s="4">
        <v>0</v>
      </c>
      <c r="T152" s="4">
        <v>102719</v>
      </c>
      <c r="V152" s="4">
        <v>0</v>
      </c>
      <c r="X152" s="4">
        <v>0</v>
      </c>
      <c r="Z152" s="4">
        <v>0</v>
      </c>
      <c r="AB152" s="4">
        <v>0</v>
      </c>
      <c r="AD152" s="4">
        <v>1974912</v>
      </c>
      <c r="AF152" s="4">
        <f>SUM(F152:AD152)</f>
        <v>4718416</v>
      </c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s="4" customFormat="1">
      <c r="A153" s="4">
        <v>210</v>
      </c>
      <c r="B153" s="3" t="s">
        <v>308</v>
      </c>
      <c r="C153" s="3"/>
      <c r="D153" s="3" t="s">
        <v>25</v>
      </c>
      <c r="E153" s="3"/>
      <c r="F153" s="4">
        <v>399976</v>
      </c>
      <c r="H153" s="4">
        <v>69318</v>
      </c>
      <c r="J153" s="4">
        <v>82741</v>
      </c>
      <c r="L153" s="4">
        <v>127797</v>
      </c>
      <c r="N153" s="4">
        <v>0</v>
      </c>
      <c r="P153" s="4">
        <v>12560</v>
      </c>
      <c r="R153" s="4">
        <v>6322</v>
      </c>
      <c r="T153" s="4">
        <v>1100</v>
      </c>
      <c r="V153" s="4">
        <v>0</v>
      </c>
      <c r="X153" s="4">
        <v>0</v>
      </c>
      <c r="Z153" s="4">
        <v>0</v>
      </c>
      <c r="AB153" s="4">
        <v>0</v>
      </c>
      <c r="AD153" s="4">
        <v>0</v>
      </c>
      <c r="AF153" s="4">
        <f>SUM(F153:AD153)</f>
        <v>699814</v>
      </c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>
      <c r="A154" s="4">
        <v>125</v>
      </c>
      <c r="B154" s="3" t="s">
        <v>184</v>
      </c>
      <c r="D154" s="3" t="s">
        <v>15</v>
      </c>
      <c r="F154" s="4">
        <v>602974</v>
      </c>
      <c r="G154" s="4"/>
      <c r="H154" s="4">
        <v>180912</v>
      </c>
      <c r="I154" s="4"/>
      <c r="J154" s="4">
        <v>168222</v>
      </c>
      <c r="K154" s="4"/>
      <c r="L154" s="4">
        <f>273663</f>
        <v>273663</v>
      </c>
      <c r="M154" s="4"/>
      <c r="N154" s="4">
        <v>0</v>
      </c>
      <c r="O154" s="4"/>
      <c r="P154" s="4">
        <v>29081</v>
      </c>
      <c r="Q154" s="4"/>
      <c r="R154" s="4">
        <v>7660</v>
      </c>
      <c r="S154" s="4"/>
      <c r="T154" s="4">
        <v>3919</v>
      </c>
      <c r="U154" s="4"/>
      <c r="V154" s="4">
        <v>0</v>
      </c>
      <c r="W154" s="4"/>
      <c r="X154" s="4">
        <v>0</v>
      </c>
      <c r="Y154" s="4"/>
      <c r="Z154" s="4">
        <v>0</v>
      </c>
      <c r="AA154" s="4"/>
      <c r="AB154" s="4">
        <v>0</v>
      </c>
      <c r="AC154" s="4"/>
      <c r="AD154" s="4">
        <v>0</v>
      </c>
      <c r="AE154" s="4"/>
      <c r="AF154" s="4">
        <f>SUM(F154:AD154)</f>
        <v>1266431</v>
      </c>
      <c r="AG154" s="51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4"/>
    </row>
    <row r="155" spans="1:64">
      <c r="A155" s="4">
        <v>197</v>
      </c>
      <c r="B155" s="3" t="s">
        <v>603</v>
      </c>
      <c r="D155" s="3" t="s">
        <v>185</v>
      </c>
      <c r="F155" s="4">
        <v>4205281</v>
      </c>
      <c r="G155" s="4"/>
      <c r="H155" s="4">
        <v>1719967</v>
      </c>
      <c r="I155" s="4"/>
      <c r="J155" s="4">
        <v>982162</v>
      </c>
      <c r="K155" s="4"/>
      <c r="L155" s="4">
        <f>1086051</f>
        <v>1086051</v>
      </c>
      <c r="M155" s="4"/>
      <c r="N155" s="4">
        <v>0</v>
      </c>
      <c r="O155" s="4"/>
      <c r="P155" s="4">
        <v>221805</v>
      </c>
      <c r="Q155" s="4"/>
      <c r="R155" s="4">
        <v>35356</v>
      </c>
      <c r="S155" s="4"/>
      <c r="T155" s="4">
        <v>56598</v>
      </c>
      <c r="U155" s="4"/>
      <c r="V155" s="4">
        <v>0</v>
      </c>
      <c r="W155" s="4"/>
      <c r="X155" s="4">
        <v>0</v>
      </c>
      <c r="Y155" s="4"/>
      <c r="Z155" s="4">
        <v>425000</v>
      </c>
      <c r="AA155" s="4"/>
      <c r="AB155" s="4">
        <v>0</v>
      </c>
      <c r="AC155" s="4"/>
      <c r="AD155" s="4">
        <v>0</v>
      </c>
      <c r="AE155" s="4"/>
      <c r="AF155" s="4">
        <f>SUM(F155:AD155)</f>
        <v>8732220</v>
      </c>
      <c r="AG155" s="51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4"/>
    </row>
    <row r="156" spans="1:64">
      <c r="A156" s="4">
        <v>195</v>
      </c>
      <c r="B156" s="3" t="s">
        <v>186</v>
      </c>
      <c r="D156" s="3" t="s">
        <v>102</v>
      </c>
      <c r="F156" s="4">
        <v>26807</v>
      </c>
      <c r="G156" s="4"/>
      <c r="H156" s="4">
        <v>3902</v>
      </c>
      <c r="I156" s="4"/>
      <c r="J156" s="4">
        <v>18688</v>
      </c>
      <c r="K156" s="4"/>
      <c r="L156" s="4">
        <v>17735</v>
      </c>
      <c r="M156" s="4"/>
      <c r="N156" s="4">
        <v>0</v>
      </c>
      <c r="O156" s="4"/>
      <c r="P156" s="4">
        <v>3516</v>
      </c>
      <c r="Q156" s="4"/>
      <c r="R156" s="4">
        <v>1088</v>
      </c>
      <c r="S156" s="4"/>
      <c r="T156" s="4">
        <v>0</v>
      </c>
      <c r="U156" s="4"/>
      <c r="V156" s="4">
        <v>0</v>
      </c>
      <c r="W156" s="4"/>
      <c r="X156" s="4">
        <v>0</v>
      </c>
      <c r="Y156" s="4"/>
      <c r="Z156" s="4">
        <v>0</v>
      </c>
      <c r="AA156" s="4"/>
      <c r="AB156" s="4">
        <v>0</v>
      </c>
      <c r="AC156" s="4"/>
      <c r="AD156" s="4">
        <v>3515</v>
      </c>
      <c r="AE156" s="4"/>
      <c r="AF156" s="4">
        <f>SUM(F156:AD156)</f>
        <v>75251</v>
      </c>
      <c r="AG156" s="51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4"/>
    </row>
    <row r="157" spans="1:64">
      <c r="A157" s="4">
        <v>154</v>
      </c>
      <c r="B157" s="3" t="s">
        <v>187</v>
      </c>
      <c r="D157" s="3" t="s">
        <v>188</v>
      </c>
      <c r="F157" s="4">
        <v>1324301</v>
      </c>
      <c r="G157" s="4"/>
      <c r="H157" s="4">
        <v>395004</v>
      </c>
      <c r="I157" s="4"/>
      <c r="J157" s="4">
        <v>282473</v>
      </c>
      <c r="K157" s="4"/>
      <c r="L157" s="4">
        <f>267236</f>
        <v>267236</v>
      </c>
      <c r="M157" s="4"/>
      <c r="N157" s="4">
        <v>0</v>
      </c>
      <c r="O157" s="4"/>
      <c r="P157" s="4">
        <v>53236</v>
      </c>
      <c r="Q157" s="4"/>
      <c r="R157" s="4">
        <v>15377</v>
      </c>
      <c r="S157" s="4"/>
      <c r="T157" s="4">
        <v>87815</v>
      </c>
      <c r="U157" s="4"/>
      <c r="V157" s="4">
        <v>0</v>
      </c>
      <c r="W157" s="4"/>
      <c r="X157" s="4">
        <v>0</v>
      </c>
      <c r="Y157" s="4"/>
      <c r="Z157" s="4">
        <v>0</v>
      </c>
      <c r="AA157" s="4"/>
      <c r="AB157" s="4">
        <v>0</v>
      </c>
      <c r="AC157" s="4"/>
      <c r="AD157" s="4">
        <v>0</v>
      </c>
      <c r="AE157" s="4"/>
      <c r="AF157" s="4">
        <f>SUM(F157:AD157)</f>
        <v>2425442</v>
      </c>
      <c r="AG157" s="51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4"/>
    </row>
    <row r="158" spans="1:64">
      <c r="A158" s="4">
        <v>21</v>
      </c>
      <c r="B158" s="35" t="s">
        <v>430</v>
      </c>
      <c r="C158" s="35"/>
      <c r="D158" s="35" t="s">
        <v>474</v>
      </c>
      <c r="E158" s="35"/>
      <c r="F158" s="4">
        <v>599224</v>
      </c>
      <c r="G158" s="35"/>
      <c r="H158" s="4">
        <v>159539</v>
      </c>
      <c r="I158" s="35"/>
      <c r="J158" s="4">
        <v>221922</v>
      </c>
      <c r="K158" s="35"/>
      <c r="L158" s="4">
        <v>226055</v>
      </c>
      <c r="M158" s="35"/>
      <c r="N158" s="4">
        <v>0</v>
      </c>
      <c r="O158" s="35"/>
      <c r="P158" s="4">
        <v>35387</v>
      </c>
      <c r="Q158" s="35"/>
      <c r="R158" s="4">
        <v>4928</v>
      </c>
      <c r="S158" s="35"/>
      <c r="T158" s="4">
        <v>14542</v>
      </c>
      <c r="U158" s="35"/>
      <c r="V158" s="4">
        <v>0</v>
      </c>
      <c r="W158" s="35"/>
      <c r="X158" s="4">
        <v>0</v>
      </c>
      <c r="Y158" s="35"/>
      <c r="Z158" s="4">
        <v>0</v>
      </c>
      <c r="AA158" s="35"/>
      <c r="AB158" s="4">
        <v>0</v>
      </c>
      <c r="AC158" s="35"/>
      <c r="AD158" s="4">
        <v>0</v>
      </c>
      <c r="AE158" s="35"/>
      <c r="AF158" s="4">
        <f>SUM(F158:AD158)</f>
        <v>1261597</v>
      </c>
      <c r="AI158" s="4"/>
    </row>
    <row r="159" spans="1:64">
      <c r="A159" s="4">
        <v>198</v>
      </c>
      <c r="B159" s="3" t="s">
        <v>189</v>
      </c>
      <c r="D159" s="3" t="s">
        <v>185</v>
      </c>
      <c r="F159" s="4">
        <v>268922</v>
      </c>
      <c r="G159" s="4"/>
      <c r="H159" s="4">
        <v>118742</v>
      </c>
      <c r="I159" s="4"/>
      <c r="J159" s="4">
        <v>99656</v>
      </c>
      <c r="K159" s="4"/>
      <c r="L159" s="4">
        <v>98787</v>
      </c>
      <c r="M159" s="4"/>
      <c r="N159" s="4">
        <v>0</v>
      </c>
      <c r="O159" s="4"/>
      <c r="P159" s="4">
        <v>19132</v>
      </c>
      <c r="Q159" s="4"/>
      <c r="R159" s="4">
        <v>895</v>
      </c>
      <c r="S159" s="4"/>
      <c r="T159" s="4">
        <v>16966</v>
      </c>
      <c r="U159" s="4"/>
      <c r="V159" s="4">
        <v>0</v>
      </c>
      <c r="W159" s="4"/>
      <c r="X159" s="4">
        <v>475</v>
      </c>
      <c r="Y159" s="4"/>
      <c r="Z159" s="4">
        <v>300000</v>
      </c>
      <c r="AA159" s="4"/>
      <c r="AB159" s="4">
        <v>0</v>
      </c>
      <c r="AC159" s="4"/>
      <c r="AD159" s="4">
        <v>0</v>
      </c>
      <c r="AE159" s="4"/>
      <c r="AF159" s="4">
        <f>SUM(F159:AD159)</f>
        <v>923575</v>
      </c>
    </row>
    <row r="160" spans="1:64">
      <c r="A160" s="4">
        <v>242</v>
      </c>
      <c r="B160" s="35" t="s">
        <v>190</v>
      </c>
      <c r="C160" s="35"/>
      <c r="D160" s="35" t="s">
        <v>502</v>
      </c>
      <c r="E160" s="35"/>
      <c r="F160" s="4">
        <v>401780</v>
      </c>
      <c r="G160" s="35"/>
      <c r="H160" s="4">
        <v>67897</v>
      </c>
      <c r="I160" s="35"/>
      <c r="J160" s="4">
        <v>87975</v>
      </c>
      <c r="K160" s="35"/>
      <c r="L160" s="4">
        <v>108816</v>
      </c>
      <c r="M160" s="35"/>
      <c r="N160" s="4">
        <v>0</v>
      </c>
      <c r="O160" s="35"/>
      <c r="P160" s="4">
        <v>16569</v>
      </c>
      <c r="Q160" s="35"/>
      <c r="R160" s="4">
        <v>6789</v>
      </c>
      <c r="S160" s="35"/>
      <c r="T160" s="4">
        <v>571</v>
      </c>
      <c r="U160" s="35"/>
      <c r="V160" s="4">
        <v>0</v>
      </c>
      <c r="W160" s="35"/>
      <c r="X160" s="4">
        <v>0</v>
      </c>
      <c r="Y160" s="35"/>
      <c r="Z160" s="4">
        <v>275000</v>
      </c>
      <c r="AA160" s="35"/>
      <c r="AB160" s="4">
        <v>0</v>
      </c>
      <c r="AC160" s="35"/>
      <c r="AD160" s="4">
        <v>0</v>
      </c>
      <c r="AE160" s="35"/>
      <c r="AF160" s="4">
        <f>SUM(F160:AD160)</f>
        <v>965397</v>
      </c>
    </row>
    <row r="161" spans="1:64">
      <c r="A161" s="4">
        <v>99</v>
      </c>
      <c r="B161" s="3" t="s">
        <v>191</v>
      </c>
      <c r="D161" s="3" t="s">
        <v>61</v>
      </c>
      <c r="F161" s="4">
        <v>381386</v>
      </c>
      <c r="G161" s="4"/>
      <c r="H161" s="4">
        <v>82308</v>
      </c>
      <c r="I161" s="4"/>
      <c r="J161" s="4">
        <v>117245</v>
      </c>
      <c r="K161" s="4"/>
      <c r="L161" s="4">
        <v>164217</v>
      </c>
      <c r="M161" s="4"/>
      <c r="N161" s="4">
        <v>0</v>
      </c>
      <c r="O161" s="4"/>
      <c r="P161" s="4">
        <v>46759</v>
      </c>
      <c r="Q161" s="4"/>
      <c r="R161" s="4">
        <v>6212</v>
      </c>
      <c r="S161" s="4"/>
      <c r="T161" s="4">
        <v>25681</v>
      </c>
      <c r="U161" s="4"/>
      <c r="V161" s="4">
        <v>0</v>
      </c>
      <c r="W161" s="4"/>
      <c r="X161" s="4">
        <v>0</v>
      </c>
      <c r="Y161" s="4"/>
      <c r="Z161" s="4">
        <v>0</v>
      </c>
      <c r="AA161" s="4"/>
      <c r="AB161" s="4">
        <v>0</v>
      </c>
      <c r="AC161" s="4"/>
      <c r="AD161" s="4">
        <v>0</v>
      </c>
      <c r="AE161" s="4"/>
      <c r="AF161" s="4">
        <f>SUM(F161:AD161)</f>
        <v>823808</v>
      </c>
      <c r="AG161" s="51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4"/>
    </row>
    <row r="162" spans="1:64">
      <c r="A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51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4"/>
    </row>
    <row r="163" spans="1:64">
      <c r="A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7" t="s">
        <v>593</v>
      </c>
      <c r="AG163" s="51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4"/>
    </row>
    <row r="164" spans="1:64">
      <c r="B164" s="3" t="s">
        <v>524</v>
      </c>
    </row>
    <row r="165" spans="1:64">
      <c r="B165" s="3" t="s">
        <v>527</v>
      </c>
    </row>
    <row r="166" spans="1:64">
      <c r="B166" s="41" t="s">
        <v>7</v>
      </c>
    </row>
    <row r="167" spans="1:64" s="36" customFormat="1">
      <c r="L167" s="36" t="s">
        <v>8</v>
      </c>
    </row>
    <row r="168" spans="1:64" s="36" customFormat="1">
      <c r="H168" s="36" t="s">
        <v>321</v>
      </c>
      <c r="J168" s="36" t="s">
        <v>323</v>
      </c>
      <c r="L168" s="36" t="s">
        <v>557</v>
      </c>
      <c r="N168" s="36" t="s">
        <v>556</v>
      </c>
      <c r="X168" s="36" t="s">
        <v>330</v>
      </c>
      <c r="AD168" s="36" t="s">
        <v>0</v>
      </c>
    </row>
    <row r="169" spans="1:64" s="36" customFormat="1">
      <c r="H169" s="36" t="s">
        <v>322</v>
      </c>
      <c r="J169" s="36" t="s">
        <v>324</v>
      </c>
      <c r="L169" s="36" t="s">
        <v>325</v>
      </c>
      <c r="N169" s="36" t="s">
        <v>554</v>
      </c>
      <c r="T169" s="36" t="s">
        <v>30</v>
      </c>
      <c r="V169" s="36" t="s">
        <v>328</v>
      </c>
      <c r="X169" s="36" t="s">
        <v>331</v>
      </c>
      <c r="AD169" s="36" t="s">
        <v>296</v>
      </c>
    </row>
    <row r="170" spans="1:64" s="36" customFormat="1" ht="12" customHeight="1">
      <c r="A170" s="36" t="s">
        <v>580</v>
      </c>
      <c r="B170" s="37" t="s">
        <v>8</v>
      </c>
      <c r="D170" s="37" t="s">
        <v>6</v>
      </c>
      <c r="F170" s="37" t="s">
        <v>2</v>
      </c>
      <c r="H170" s="37" t="s">
        <v>3</v>
      </c>
      <c r="J170" s="37" t="s">
        <v>29</v>
      </c>
      <c r="L170" s="37" t="s">
        <v>326</v>
      </c>
      <c r="N170" s="37" t="s">
        <v>555</v>
      </c>
      <c r="P170" s="37" t="s">
        <v>4</v>
      </c>
      <c r="R170" s="37" t="s">
        <v>0</v>
      </c>
      <c r="T170" s="37" t="s">
        <v>327</v>
      </c>
      <c r="V170" s="37" t="s">
        <v>329</v>
      </c>
      <c r="X170" s="37" t="s">
        <v>332</v>
      </c>
      <c r="Z170" s="37" t="s">
        <v>506</v>
      </c>
      <c r="AB170" s="37" t="s">
        <v>507</v>
      </c>
      <c r="AD170" s="37" t="s">
        <v>333</v>
      </c>
      <c r="AF170" s="49" t="s">
        <v>28</v>
      </c>
    </row>
    <row r="171" spans="1:64" s="7" customFormat="1">
      <c r="A171" s="7">
        <v>237</v>
      </c>
      <c r="B171" s="7" t="s">
        <v>192</v>
      </c>
      <c r="D171" s="7" t="s">
        <v>193</v>
      </c>
      <c r="F171" s="7">
        <v>773288</v>
      </c>
      <c r="H171" s="7">
        <v>205996</v>
      </c>
      <c r="J171" s="7">
        <v>146021</v>
      </c>
      <c r="L171" s="7">
        <f>304877</f>
        <v>304877</v>
      </c>
      <c r="N171" s="7">
        <v>0</v>
      </c>
      <c r="P171" s="7">
        <v>24272</v>
      </c>
      <c r="R171" s="7">
        <v>92162</v>
      </c>
      <c r="T171" s="7">
        <v>42929</v>
      </c>
      <c r="V171" s="7">
        <v>0</v>
      </c>
      <c r="X171" s="7">
        <v>0</v>
      </c>
      <c r="Z171" s="7">
        <v>0</v>
      </c>
      <c r="AB171" s="7">
        <v>0</v>
      </c>
      <c r="AD171" s="7">
        <v>0</v>
      </c>
      <c r="AF171" s="7">
        <f>SUM(F171:AD171)</f>
        <v>1589545</v>
      </c>
      <c r="AG171" s="50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</row>
    <row r="172" spans="1:64">
      <c r="A172" s="4">
        <v>243</v>
      </c>
      <c r="B172" s="35" t="s">
        <v>194</v>
      </c>
      <c r="C172" s="35"/>
      <c r="D172" s="35" t="s">
        <v>502</v>
      </c>
      <c r="E172" s="35"/>
      <c r="F172" s="4">
        <v>672958</v>
      </c>
      <c r="G172" s="35"/>
      <c r="H172" s="4">
        <v>249298</v>
      </c>
      <c r="I172" s="35"/>
      <c r="J172" s="4">
        <v>170883</v>
      </c>
      <c r="K172" s="35"/>
      <c r="L172" s="4">
        <v>291581</v>
      </c>
      <c r="M172" s="35"/>
      <c r="N172" s="4">
        <v>0</v>
      </c>
      <c r="O172" s="35"/>
      <c r="P172" s="4">
        <v>31681</v>
      </c>
      <c r="Q172" s="35"/>
      <c r="R172" s="4">
        <v>4904</v>
      </c>
      <c r="S172" s="35"/>
      <c r="T172" s="4">
        <v>55639</v>
      </c>
      <c r="U172" s="35"/>
      <c r="V172" s="4">
        <v>0</v>
      </c>
      <c r="W172" s="35"/>
      <c r="X172" s="4">
        <v>0</v>
      </c>
      <c r="Y172" s="35"/>
      <c r="Z172" s="4">
        <v>22661</v>
      </c>
      <c r="AA172" s="35"/>
      <c r="AB172" s="4">
        <v>0</v>
      </c>
      <c r="AC172" s="35"/>
      <c r="AD172" s="4">
        <v>7766</v>
      </c>
      <c r="AE172" s="35"/>
      <c r="AF172" s="4">
        <f>SUM(F172:AD172)</f>
        <v>1507371</v>
      </c>
    </row>
    <row r="173" spans="1:64">
      <c r="A173" s="4">
        <v>211</v>
      </c>
      <c r="B173" s="3" t="s">
        <v>195</v>
      </c>
      <c r="D173" s="3" t="s">
        <v>25</v>
      </c>
      <c r="F173" s="4">
        <v>1223980</v>
      </c>
      <c r="G173" s="4"/>
      <c r="H173" s="4">
        <v>263406</v>
      </c>
      <c r="I173" s="4"/>
      <c r="J173" s="4">
        <v>367158</v>
      </c>
      <c r="K173" s="4"/>
      <c r="L173" s="4">
        <v>388494</v>
      </c>
      <c r="M173" s="4"/>
      <c r="N173" s="4">
        <v>0</v>
      </c>
      <c r="O173" s="4"/>
      <c r="P173" s="4">
        <v>57343</v>
      </c>
      <c r="Q173" s="4"/>
      <c r="R173" s="4">
        <v>11812</v>
      </c>
      <c r="S173" s="4"/>
      <c r="T173" s="4">
        <v>117525</v>
      </c>
      <c r="U173" s="4"/>
      <c r="V173" s="4">
        <v>0</v>
      </c>
      <c r="W173" s="4"/>
      <c r="X173" s="4">
        <v>0</v>
      </c>
      <c r="Y173" s="4"/>
      <c r="Z173" s="4">
        <v>250682</v>
      </c>
      <c r="AA173" s="4"/>
      <c r="AB173" s="4">
        <v>0</v>
      </c>
      <c r="AC173" s="4"/>
      <c r="AD173" s="4">
        <v>0</v>
      </c>
      <c r="AE173" s="4"/>
      <c r="AF173" s="4">
        <f>SUM(F173:AD173)</f>
        <v>2680400</v>
      </c>
    </row>
    <row r="174" spans="1:64">
      <c r="A174" s="4">
        <v>94</v>
      </c>
      <c r="B174" s="3" t="s">
        <v>340</v>
      </c>
      <c r="D174" s="3" t="s">
        <v>139</v>
      </c>
      <c r="F174" s="4">
        <v>149082</v>
      </c>
      <c r="G174" s="4"/>
      <c r="H174" s="4">
        <v>67670</v>
      </c>
      <c r="I174" s="4"/>
      <c r="J174" s="4">
        <v>34888</v>
      </c>
      <c r="K174" s="4"/>
      <c r="L174" s="4">
        <v>31298</v>
      </c>
      <c r="M174" s="4"/>
      <c r="N174" s="4">
        <v>0</v>
      </c>
      <c r="O174" s="4"/>
      <c r="P174" s="4">
        <v>7535</v>
      </c>
      <c r="Q174" s="4"/>
      <c r="R174" s="4">
        <v>43187</v>
      </c>
      <c r="S174" s="4"/>
      <c r="T174" s="4">
        <v>5572</v>
      </c>
      <c r="U174" s="4"/>
      <c r="V174" s="4">
        <v>0</v>
      </c>
      <c r="W174" s="4"/>
      <c r="X174" s="4">
        <v>0</v>
      </c>
      <c r="Y174" s="4"/>
      <c r="Z174" s="4">
        <v>0</v>
      </c>
      <c r="AA174" s="4"/>
      <c r="AB174" s="4">
        <v>0</v>
      </c>
      <c r="AC174" s="4"/>
      <c r="AD174" s="4">
        <v>0</v>
      </c>
      <c r="AE174" s="4"/>
      <c r="AF174" s="4">
        <f>SUM(F174:AD174)</f>
        <v>339232</v>
      </c>
    </row>
    <row r="175" spans="1:64">
      <c r="A175" s="4">
        <v>227</v>
      </c>
      <c r="B175" s="7" t="s">
        <v>440</v>
      </c>
      <c r="C175" s="7"/>
      <c r="D175" s="7" t="s">
        <v>56</v>
      </c>
      <c r="E175" s="7"/>
      <c r="F175" s="4">
        <v>538343</v>
      </c>
      <c r="G175" s="4"/>
      <c r="H175" s="4">
        <v>153559</v>
      </c>
      <c r="I175" s="4"/>
      <c r="J175" s="4">
        <v>180546</v>
      </c>
      <c r="K175" s="4"/>
      <c r="L175" s="4">
        <f>186346</f>
        <v>186346</v>
      </c>
      <c r="M175" s="4"/>
      <c r="N175" s="4">
        <v>0</v>
      </c>
      <c r="O175" s="4"/>
      <c r="P175" s="4">
        <v>27994</v>
      </c>
      <c r="Q175" s="4"/>
      <c r="R175" s="4">
        <v>3863</v>
      </c>
      <c r="S175" s="4"/>
      <c r="T175" s="4">
        <v>37551</v>
      </c>
      <c r="U175" s="4"/>
      <c r="V175" s="4">
        <v>0</v>
      </c>
      <c r="W175" s="4"/>
      <c r="X175" s="4">
        <v>0</v>
      </c>
      <c r="Y175" s="4"/>
      <c r="Z175" s="4">
        <v>0</v>
      </c>
      <c r="AA175" s="4"/>
      <c r="AB175" s="4">
        <v>0</v>
      </c>
      <c r="AC175" s="4"/>
      <c r="AD175" s="4">
        <v>0</v>
      </c>
      <c r="AE175" s="4"/>
      <c r="AF175" s="4">
        <f>SUM(F175:AD175)</f>
        <v>1128202</v>
      </c>
    </row>
    <row r="176" spans="1:64">
      <c r="A176" s="4">
        <v>29</v>
      </c>
      <c r="B176" s="35" t="s">
        <v>196</v>
      </c>
      <c r="C176" s="35"/>
      <c r="D176" s="35" t="s">
        <v>478</v>
      </c>
      <c r="E176" s="35"/>
      <c r="F176" s="4">
        <v>166460</v>
      </c>
      <c r="G176" s="35"/>
      <c r="H176" s="4">
        <v>51590</v>
      </c>
      <c r="I176" s="35"/>
      <c r="J176" s="4">
        <v>37177</v>
      </c>
      <c r="K176" s="35"/>
      <c r="L176" s="4">
        <v>29255</v>
      </c>
      <c r="M176" s="35"/>
      <c r="N176" s="4">
        <v>0</v>
      </c>
      <c r="O176" s="35"/>
      <c r="P176" s="4">
        <v>5879</v>
      </c>
      <c r="Q176" s="35"/>
      <c r="R176" s="4">
        <v>1052</v>
      </c>
      <c r="S176" s="35"/>
      <c r="T176" s="4">
        <v>8512</v>
      </c>
      <c r="U176" s="35"/>
      <c r="V176" s="4">
        <v>0</v>
      </c>
      <c r="W176" s="35"/>
      <c r="X176" s="4">
        <v>0</v>
      </c>
      <c r="Y176" s="35"/>
      <c r="Z176" s="4">
        <v>0</v>
      </c>
      <c r="AA176" s="35"/>
      <c r="AB176" s="4">
        <v>0</v>
      </c>
      <c r="AC176" s="35"/>
      <c r="AD176" s="4">
        <v>0</v>
      </c>
      <c r="AE176" s="35"/>
      <c r="AF176" s="4">
        <f>SUM(F176:AD176)</f>
        <v>299925</v>
      </c>
      <c r="AI176" s="4"/>
    </row>
    <row r="177" spans="1:64">
      <c r="A177" s="4">
        <v>156</v>
      </c>
      <c r="B177" s="3" t="s">
        <v>604</v>
      </c>
      <c r="D177" s="3" t="s">
        <v>20</v>
      </c>
      <c r="F177" s="4">
        <v>4156223</v>
      </c>
      <c r="G177" s="4"/>
      <c r="H177" s="4">
        <v>1095244</v>
      </c>
      <c r="I177" s="4"/>
      <c r="J177" s="4">
        <v>1514668</v>
      </c>
      <c r="K177" s="4"/>
      <c r="L177" s="4">
        <f>1613275</f>
        <v>1613275</v>
      </c>
      <c r="M177" s="4"/>
      <c r="N177" s="4">
        <v>0</v>
      </c>
      <c r="O177" s="4"/>
      <c r="P177" s="4">
        <v>172868</v>
      </c>
      <c r="Q177" s="4"/>
      <c r="R177" s="4">
        <v>22568</v>
      </c>
      <c r="S177" s="4"/>
      <c r="T177" s="4">
        <v>0</v>
      </c>
      <c r="U177" s="4"/>
      <c r="V177" s="4">
        <v>0</v>
      </c>
      <c r="W177" s="4"/>
      <c r="X177" s="4">
        <v>0</v>
      </c>
      <c r="Y177" s="4"/>
      <c r="Z177" s="4">
        <v>0</v>
      </c>
      <c r="AA177" s="4"/>
      <c r="AB177" s="4">
        <v>0</v>
      </c>
      <c r="AC177" s="4"/>
      <c r="AD177" s="4">
        <v>0</v>
      </c>
      <c r="AE177" s="4"/>
      <c r="AF177" s="4">
        <f>SUM(F177:AD177)</f>
        <v>8574846</v>
      </c>
      <c r="AG177" s="51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4"/>
    </row>
    <row r="178" spans="1:64">
      <c r="A178" s="4">
        <v>157</v>
      </c>
      <c r="B178" s="35" t="s">
        <v>490</v>
      </c>
      <c r="C178" s="35"/>
      <c r="D178" s="35" t="s">
        <v>491</v>
      </c>
      <c r="E178" s="35"/>
      <c r="F178" s="4">
        <v>442169</v>
      </c>
      <c r="G178" s="35"/>
      <c r="H178" s="4">
        <v>129875</v>
      </c>
      <c r="I178" s="35"/>
      <c r="J178" s="4">
        <v>103002</v>
      </c>
      <c r="K178" s="35"/>
      <c r="L178" s="4">
        <v>139309</v>
      </c>
      <c r="M178" s="35"/>
      <c r="N178" s="4">
        <v>0</v>
      </c>
      <c r="O178" s="35"/>
      <c r="P178" s="4">
        <v>19925</v>
      </c>
      <c r="Q178" s="35"/>
      <c r="R178" s="4">
        <v>3436</v>
      </c>
      <c r="S178" s="35"/>
      <c r="T178" s="4">
        <v>5923</v>
      </c>
      <c r="U178" s="35"/>
      <c r="V178" s="4">
        <v>0</v>
      </c>
      <c r="W178" s="35"/>
      <c r="X178" s="4">
        <v>0</v>
      </c>
      <c r="Y178" s="35"/>
      <c r="Z178" s="4">
        <v>80000</v>
      </c>
      <c r="AA178" s="35"/>
      <c r="AB178" s="4">
        <v>0</v>
      </c>
      <c r="AC178" s="35"/>
      <c r="AD178" s="4">
        <v>0</v>
      </c>
      <c r="AE178" s="35"/>
      <c r="AF178" s="4">
        <f>SUM(F178:AD178)</f>
        <v>923639</v>
      </c>
      <c r="AI178" s="4"/>
    </row>
    <row r="179" spans="1:64">
      <c r="A179" s="4">
        <v>126</v>
      </c>
      <c r="B179" s="35" t="s">
        <v>14</v>
      </c>
      <c r="C179" s="35"/>
      <c r="D179" s="35" t="s">
        <v>15</v>
      </c>
      <c r="E179" s="35"/>
      <c r="F179" s="35">
        <f>296329+524901</f>
        <v>821230</v>
      </c>
      <c r="G179" s="35"/>
      <c r="H179" s="35">
        <v>0</v>
      </c>
      <c r="I179" s="35"/>
      <c r="J179" s="35">
        <v>0</v>
      </c>
      <c r="K179" s="35"/>
      <c r="L179" s="35">
        <v>854629</v>
      </c>
      <c r="M179" s="35"/>
      <c r="N179" s="35">
        <v>427442</v>
      </c>
      <c r="O179" s="35"/>
      <c r="P179" s="4">
        <v>0</v>
      </c>
      <c r="Q179" s="35"/>
      <c r="R179" s="35">
        <v>1060310</v>
      </c>
      <c r="S179" s="35"/>
      <c r="T179" s="35">
        <v>0</v>
      </c>
      <c r="U179" s="35"/>
      <c r="V179" s="4">
        <v>0</v>
      </c>
      <c r="W179" s="35"/>
      <c r="X179" s="35">
        <v>0</v>
      </c>
      <c r="Y179" s="35"/>
      <c r="Z179" s="35">
        <v>52425</v>
      </c>
      <c r="AA179" s="35"/>
      <c r="AB179" s="4">
        <v>0</v>
      </c>
      <c r="AC179" s="35"/>
      <c r="AD179" s="35">
        <v>0</v>
      </c>
      <c r="AE179" s="35"/>
      <c r="AF179" s="4">
        <f>SUM(F179:AD179)</f>
        <v>3216036</v>
      </c>
      <c r="AI179" s="4"/>
    </row>
    <row r="180" spans="1:64">
      <c r="A180" s="4">
        <v>160</v>
      </c>
      <c r="B180" s="35" t="s">
        <v>605</v>
      </c>
      <c r="C180" s="35"/>
      <c r="D180" s="35" t="s">
        <v>493</v>
      </c>
      <c r="E180" s="35"/>
      <c r="F180" s="4">
        <v>540149</v>
      </c>
      <c r="G180" s="35"/>
      <c r="H180" s="4">
        <v>157977</v>
      </c>
      <c r="I180" s="35"/>
      <c r="J180" s="4">
        <v>143120</v>
      </c>
      <c r="K180" s="35"/>
      <c r="L180" s="4">
        <v>69751</v>
      </c>
      <c r="M180" s="35"/>
      <c r="N180" s="4">
        <v>0</v>
      </c>
      <c r="O180" s="35"/>
      <c r="P180" s="4">
        <v>23237</v>
      </c>
      <c r="Q180" s="35"/>
      <c r="R180" s="4">
        <v>3631</v>
      </c>
      <c r="S180" s="35"/>
      <c r="T180" s="4">
        <v>8369</v>
      </c>
      <c r="U180" s="35"/>
      <c r="V180" s="4">
        <v>0</v>
      </c>
      <c r="W180" s="35"/>
      <c r="X180" s="4">
        <v>0</v>
      </c>
      <c r="Y180" s="35"/>
      <c r="Z180" s="4">
        <v>41325</v>
      </c>
      <c r="AA180" s="35"/>
      <c r="AB180" s="4">
        <v>0</v>
      </c>
      <c r="AC180" s="35"/>
      <c r="AD180" s="4">
        <v>0</v>
      </c>
      <c r="AE180" s="35"/>
      <c r="AF180" s="4">
        <f>SUM(F180:AD180)</f>
        <v>987559</v>
      </c>
    </row>
    <row r="181" spans="1:64">
      <c r="A181" s="4">
        <v>26</v>
      </c>
      <c r="B181" s="3" t="s">
        <v>197</v>
      </c>
      <c r="D181" s="3" t="s">
        <v>10</v>
      </c>
      <c r="F181" s="4">
        <f>751825+104710</f>
        <v>856535</v>
      </c>
      <c r="G181" s="4"/>
      <c r="H181" s="4">
        <v>0</v>
      </c>
      <c r="I181" s="4"/>
      <c r="J181" s="4">
        <v>0</v>
      </c>
      <c r="K181" s="4"/>
      <c r="L181" s="4">
        <v>2369501</v>
      </c>
      <c r="M181" s="4"/>
      <c r="N181" s="4">
        <v>723406</v>
      </c>
      <c r="O181" s="4"/>
      <c r="P181" s="4">
        <v>0</v>
      </c>
      <c r="Q181" s="4"/>
      <c r="R181" s="4">
        <v>1571784</v>
      </c>
      <c r="S181" s="4"/>
      <c r="T181" s="4">
        <v>82693</v>
      </c>
      <c r="U181" s="4"/>
      <c r="V181" s="4">
        <v>0</v>
      </c>
      <c r="W181" s="4"/>
      <c r="X181" s="4">
        <v>0</v>
      </c>
      <c r="Y181" s="4"/>
      <c r="Z181" s="4">
        <v>250000</v>
      </c>
      <c r="AA181" s="4"/>
      <c r="AB181" s="4">
        <v>0</v>
      </c>
      <c r="AC181" s="4"/>
      <c r="AD181" s="4">
        <v>0</v>
      </c>
      <c r="AE181" s="4"/>
      <c r="AF181" s="4">
        <f>SUM(F181:AD181)</f>
        <v>5853919</v>
      </c>
      <c r="AG181" s="51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4"/>
    </row>
    <row r="182" spans="1:64">
      <c r="A182" s="4">
        <v>67</v>
      </c>
      <c r="B182" s="3" t="s">
        <v>198</v>
      </c>
      <c r="D182" s="3" t="s">
        <v>167</v>
      </c>
      <c r="F182" s="4">
        <v>357446</v>
      </c>
      <c r="G182" s="4"/>
      <c r="H182" s="4">
        <v>64458</v>
      </c>
      <c r="I182" s="4"/>
      <c r="J182" s="4">
        <v>78170</v>
      </c>
      <c r="K182" s="4"/>
      <c r="L182" s="4">
        <v>125391</v>
      </c>
      <c r="M182" s="4"/>
      <c r="N182" s="4">
        <v>0</v>
      </c>
      <c r="O182" s="4"/>
      <c r="P182" s="4">
        <v>16658</v>
      </c>
      <c r="Q182" s="4"/>
      <c r="R182" s="4">
        <v>6129</v>
      </c>
      <c r="S182" s="4"/>
      <c r="T182" s="4">
        <v>0</v>
      </c>
      <c r="U182" s="4"/>
      <c r="V182" s="4">
        <v>0</v>
      </c>
      <c r="W182" s="4"/>
      <c r="X182" s="4">
        <v>0</v>
      </c>
      <c r="Y182" s="4"/>
      <c r="Z182" s="4">
        <v>2456</v>
      </c>
      <c r="AA182" s="4"/>
      <c r="AB182" s="4">
        <v>0</v>
      </c>
      <c r="AC182" s="4"/>
      <c r="AD182" s="4">
        <v>0</v>
      </c>
      <c r="AE182" s="4"/>
      <c r="AF182" s="4">
        <f>SUM(F182:AD182)</f>
        <v>650708</v>
      </c>
    </row>
    <row r="183" spans="1:64">
      <c r="A183" s="4">
        <v>165</v>
      </c>
      <c r="B183" s="35" t="s">
        <v>199</v>
      </c>
      <c r="C183" s="35"/>
      <c r="D183" s="35" t="s">
        <v>494</v>
      </c>
      <c r="E183" s="35"/>
      <c r="F183" s="4">
        <v>237500</v>
      </c>
      <c r="G183" s="35"/>
      <c r="H183" s="4">
        <v>69471</v>
      </c>
      <c r="I183" s="35"/>
      <c r="J183" s="4">
        <v>77072</v>
      </c>
      <c r="K183" s="35"/>
      <c r="L183" s="4">
        <v>51522</v>
      </c>
      <c r="M183" s="35"/>
      <c r="N183" s="4">
        <v>0</v>
      </c>
      <c r="O183" s="35"/>
      <c r="P183" s="4">
        <v>5791</v>
      </c>
      <c r="Q183" s="35"/>
      <c r="R183" s="4">
        <v>2642</v>
      </c>
      <c r="S183" s="35"/>
      <c r="T183" s="4">
        <v>0</v>
      </c>
      <c r="U183" s="35"/>
      <c r="V183" s="4">
        <v>0</v>
      </c>
      <c r="W183" s="35"/>
      <c r="X183" s="4">
        <v>0</v>
      </c>
      <c r="Y183" s="35"/>
      <c r="Z183" s="4">
        <v>0</v>
      </c>
      <c r="AA183" s="35"/>
      <c r="AB183" s="4">
        <v>0</v>
      </c>
      <c r="AC183" s="35"/>
      <c r="AD183" s="4">
        <v>0</v>
      </c>
      <c r="AE183" s="35"/>
      <c r="AF183" s="4">
        <f>SUM(F183:AD183)</f>
        <v>443998</v>
      </c>
    </row>
    <row r="184" spans="1:64">
      <c r="A184" s="4">
        <v>212</v>
      </c>
      <c r="B184" s="35" t="s">
        <v>200</v>
      </c>
      <c r="C184" s="35"/>
      <c r="D184" s="35" t="s">
        <v>499</v>
      </c>
      <c r="E184" s="35"/>
      <c r="F184" s="4">
        <v>449470</v>
      </c>
      <c r="G184" s="35"/>
      <c r="H184" s="4">
        <v>140870</v>
      </c>
      <c r="I184" s="35"/>
      <c r="J184" s="4">
        <v>90939</v>
      </c>
      <c r="K184" s="35"/>
      <c r="L184" s="4">
        <v>132286</v>
      </c>
      <c r="M184" s="35"/>
      <c r="N184" s="4">
        <v>0</v>
      </c>
      <c r="O184" s="35"/>
      <c r="P184" s="4">
        <v>12356</v>
      </c>
      <c r="Q184" s="35"/>
      <c r="R184" s="4">
        <v>24401</v>
      </c>
      <c r="S184" s="35"/>
      <c r="T184" s="4">
        <v>440</v>
      </c>
      <c r="U184" s="35"/>
      <c r="V184" s="4">
        <v>0</v>
      </c>
      <c r="W184" s="35"/>
      <c r="X184" s="4">
        <v>0</v>
      </c>
      <c r="Y184" s="35"/>
      <c r="Z184" s="4">
        <v>45000</v>
      </c>
      <c r="AA184" s="35"/>
      <c r="AB184" s="4">
        <v>0</v>
      </c>
      <c r="AC184" s="35"/>
      <c r="AD184" s="4">
        <v>0</v>
      </c>
      <c r="AE184" s="35"/>
      <c r="AF184" s="4">
        <f>SUM(F184:AD184)</f>
        <v>895762</v>
      </c>
      <c r="AG184" s="51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4"/>
    </row>
    <row r="185" spans="1:64">
      <c r="A185" s="4">
        <v>259</v>
      </c>
      <c r="B185" s="3" t="s">
        <v>309</v>
      </c>
      <c r="D185" s="3" t="s">
        <v>63</v>
      </c>
      <c r="F185" s="4">
        <v>117066</v>
      </c>
      <c r="G185" s="4"/>
      <c r="H185" s="4">
        <v>18346</v>
      </c>
      <c r="I185" s="4"/>
      <c r="J185" s="4">
        <v>42072</v>
      </c>
      <c r="K185" s="4"/>
      <c r="L185" s="4">
        <v>50923</v>
      </c>
      <c r="M185" s="4"/>
      <c r="N185" s="4">
        <v>0</v>
      </c>
      <c r="O185" s="4"/>
      <c r="P185" s="4">
        <v>9219</v>
      </c>
      <c r="Q185" s="4"/>
      <c r="R185" s="4">
        <v>3513</v>
      </c>
      <c r="S185" s="4"/>
      <c r="T185" s="4">
        <v>809</v>
      </c>
      <c r="U185" s="4"/>
      <c r="V185" s="4">
        <v>0</v>
      </c>
      <c r="W185" s="4"/>
      <c r="X185" s="4">
        <v>0</v>
      </c>
      <c r="Y185" s="4"/>
      <c r="Z185" s="4">
        <v>27839</v>
      </c>
      <c r="AA185" s="4"/>
      <c r="AB185" s="4">
        <v>0</v>
      </c>
      <c r="AC185" s="4"/>
      <c r="AD185" s="4">
        <v>0</v>
      </c>
      <c r="AE185" s="4"/>
      <c r="AF185" s="4">
        <f>SUM(F185:AD185)</f>
        <v>269787</v>
      </c>
      <c r="AG185" s="51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4"/>
    </row>
    <row r="186" spans="1:64">
      <c r="A186" s="4">
        <v>168</v>
      </c>
      <c r="B186" s="35" t="s">
        <v>495</v>
      </c>
      <c r="C186" s="35"/>
      <c r="D186" s="35" t="s">
        <v>496</v>
      </c>
      <c r="E186" s="35"/>
      <c r="F186" s="4">
        <v>241200</v>
      </c>
      <c r="G186" s="35"/>
      <c r="H186" s="4">
        <v>88377</v>
      </c>
      <c r="I186" s="35"/>
      <c r="J186" s="4">
        <v>85926</v>
      </c>
      <c r="K186" s="35"/>
      <c r="L186" s="4">
        <v>113105</v>
      </c>
      <c r="M186" s="35"/>
      <c r="N186" s="4">
        <v>0</v>
      </c>
      <c r="O186" s="35"/>
      <c r="P186" s="4">
        <v>14565</v>
      </c>
      <c r="Q186" s="35"/>
      <c r="R186" s="4">
        <v>12975</v>
      </c>
      <c r="S186" s="35"/>
      <c r="T186" s="4">
        <v>51961</v>
      </c>
      <c r="U186" s="35"/>
      <c r="V186" s="4">
        <v>0</v>
      </c>
      <c r="W186" s="35"/>
      <c r="X186" s="4">
        <v>0</v>
      </c>
      <c r="Y186" s="35"/>
      <c r="Z186" s="4">
        <v>0</v>
      </c>
      <c r="AA186" s="35"/>
      <c r="AB186" s="4">
        <v>0</v>
      </c>
      <c r="AC186" s="35"/>
      <c r="AD186" s="4">
        <v>0</v>
      </c>
      <c r="AE186" s="35"/>
      <c r="AF186" s="4">
        <f>SUM(F186:AD186)</f>
        <v>608109</v>
      </c>
      <c r="AI186" s="4"/>
    </row>
    <row r="187" spans="1:64">
      <c r="A187" s="4">
        <v>111</v>
      </c>
      <c r="B187" s="3" t="s">
        <v>202</v>
      </c>
      <c r="D187" s="3" t="s">
        <v>89</v>
      </c>
      <c r="F187" s="4">
        <v>70501</v>
      </c>
      <c r="G187" s="4"/>
      <c r="H187" s="4">
        <v>12340</v>
      </c>
      <c r="I187" s="4"/>
      <c r="J187" s="4">
        <v>33967</v>
      </c>
      <c r="K187" s="4"/>
      <c r="L187" s="4">
        <f>12291</f>
        <v>12291</v>
      </c>
      <c r="M187" s="4"/>
      <c r="N187" s="4">
        <v>0</v>
      </c>
      <c r="O187" s="4"/>
      <c r="P187" s="4">
        <v>3161</v>
      </c>
      <c r="Q187" s="4"/>
      <c r="R187" s="4">
        <v>305</v>
      </c>
      <c r="S187" s="4"/>
      <c r="T187" s="4">
        <v>0</v>
      </c>
      <c r="U187" s="4"/>
      <c r="V187" s="4">
        <v>0</v>
      </c>
      <c r="W187" s="4"/>
      <c r="X187" s="4">
        <v>0</v>
      </c>
      <c r="Y187" s="4"/>
      <c r="Z187" s="4">
        <v>2000</v>
      </c>
      <c r="AA187" s="4"/>
      <c r="AB187" s="4">
        <v>0</v>
      </c>
      <c r="AC187" s="4"/>
      <c r="AD187" s="4">
        <v>0</v>
      </c>
      <c r="AE187" s="4"/>
      <c r="AF187" s="4">
        <f>SUM(F187:AD187)</f>
        <v>134565</v>
      </c>
    </row>
    <row r="188" spans="1:64">
      <c r="A188" s="4">
        <v>248</v>
      </c>
      <c r="B188" s="3" t="s">
        <v>203</v>
      </c>
      <c r="D188" s="3" t="s">
        <v>204</v>
      </c>
      <c r="F188" s="4">
        <v>119916</v>
      </c>
      <c r="G188" s="4"/>
      <c r="H188" s="4">
        <v>18836</v>
      </c>
      <c r="I188" s="4"/>
      <c r="J188" s="4">
        <v>44952</v>
      </c>
      <c r="K188" s="4"/>
      <c r="L188" s="4">
        <f>39215</f>
        <v>39215</v>
      </c>
      <c r="M188" s="4"/>
      <c r="N188" s="4">
        <v>0</v>
      </c>
      <c r="O188" s="4"/>
      <c r="P188" s="4">
        <v>8185</v>
      </c>
      <c r="Q188" s="4"/>
      <c r="R188" s="4">
        <v>4012</v>
      </c>
      <c r="S188" s="4"/>
      <c r="T188" s="4">
        <v>25563</v>
      </c>
      <c r="U188" s="4"/>
      <c r="V188" s="4">
        <v>0</v>
      </c>
      <c r="W188" s="4"/>
      <c r="X188" s="4">
        <v>0</v>
      </c>
      <c r="Y188" s="4"/>
      <c r="Z188" s="4">
        <v>0</v>
      </c>
      <c r="AA188" s="4"/>
      <c r="AB188" s="4">
        <v>0</v>
      </c>
      <c r="AC188" s="4"/>
      <c r="AD188" s="4">
        <v>0</v>
      </c>
      <c r="AE188" s="4"/>
      <c r="AF188" s="4">
        <f>SUM(F188:AD188)</f>
        <v>260679</v>
      </c>
    </row>
    <row r="189" spans="1:64">
      <c r="A189" s="4">
        <v>127</v>
      </c>
      <c r="B189" s="3" t="s">
        <v>205</v>
      </c>
      <c r="D189" s="3" t="s">
        <v>15</v>
      </c>
      <c r="F189" s="4">
        <v>1324053</v>
      </c>
      <c r="G189" s="4"/>
      <c r="H189" s="4">
        <v>439529</v>
      </c>
      <c r="I189" s="4"/>
      <c r="J189" s="4">
        <v>445239</v>
      </c>
      <c r="K189" s="4"/>
      <c r="L189" s="4">
        <f>557380</f>
        <v>557380</v>
      </c>
      <c r="M189" s="4"/>
      <c r="N189" s="4">
        <v>0</v>
      </c>
      <c r="O189" s="4"/>
      <c r="P189" s="4">
        <v>61408</v>
      </c>
      <c r="Q189" s="4"/>
      <c r="R189" s="4">
        <v>34116</v>
      </c>
      <c r="S189" s="4"/>
      <c r="T189" s="4">
        <v>7561</v>
      </c>
      <c r="U189" s="4"/>
      <c r="V189" s="4">
        <v>0</v>
      </c>
      <c r="W189" s="4"/>
      <c r="X189" s="4">
        <v>0</v>
      </c>
      <c r="Y189" s="4"/>
      <c r="Z189" s="4">
        <v>0</v>
      </c>
      <c r="AA189" s="4"/>
      <c r="AB189" s="4">
        <v>0</v>
      </c>
      <c r="AC189" s="4"/>
      <c r="AD189" s="4">
        <v>0</v>
      </c>
      <c r="AE189" s="4"/>
      <c r="AF189" s="4">
        <f>SUM(F189:AD189)</f>
        <v>2869286</v>
      </c>
      <c r="AG189" s="53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8"/>
    </row>
    <row r="190" spans="1:64">
      <c r="A190" s="4">
        <v>175</v>
      </c>
      <c r="B190" s="3" t="s">
        <v>206</v>
      </c>
      <c r="D190" s="3" t="s">
        <v>68</v>
      </c>
      <c r="F190" s="4">
        <v>195417</v>
      </c>
      <c r="G190" s="4"/>
      <c r="H190" s="4">
        <v>35139</v>
      </c>
      <c r="I190" s="4"/>
      <c r="J190" s="4">
        <v>88637</v>
      </c>
      <c r="K190" s="4"/>
      <c r="L190" s="4">
        <f>58358</f>
        <v>58358</v>
      </c>
      <c r="M190" s="4"/>
      <c r="N190" s="4">
        <v>0</v>
      </c>
      <c r="O190" s="4"/>
      <c r="P190" s="4">
        <v>5803</v>
      </c>
      <c r="Q190" s="4"/>
      <c r="R190" s="4">
        <v>4198</v>
      </c>
      <c r="S190" s="4"/>
      <c r="T190" s="4">
        <v>2114</v>
      </c>
      <c r="U190" s="4"/>
      <c r="V190" s="4">
        <v>0</v>
      </c>
      <c r="W190" s="4"/>
      <c r="X190" s="4">
        <v>0</v>
      </c>
      <c r="Y190" s="4"/>
      <c r="Z190" s="4">
        <v>0</v>
      </c>
      <c r="AA190" s="4"/>
      <c r="AB190" s="4">
        <v>0</v>
      </c>
      <c r="AC190" s="4"/>
      <c r="AD190" s="4">
        <v>113</v>
      </c>
      <c r="AE190" s="4"/>
      <c r="AF190" s="4">
        <f>SUM(F190:AD190)</f>
        <v>389779</v>
      </c>
    </row>
    <row r="191" spans="1:64">
      <c r="A191" s="4">
        <v>150</v>
      </c>
      <c r="B191" s="35" t="s">
        <v>207</v>
      </c>
      <c r="C191" s="35"/>
      <c r="D191" s="35" t="s">
        <v>489</v>
      </c>
      <c r="E191" s="35"/>
      <c r="F191" s="4">
        <v>96284</v>
      </c>
      <c r="G191" s="35"/>
      <c r="H191" s="4">
        <v>15684</v>
      </c>
      <c r="I191" s="35"/>
      <c r="J191" s="4">
        <v>60295</v>
      </c>
      <c r="K191" s="35"/>
      <c r="L191" s="4">
        <v>25169</v>
      </c>
      <c r="M191" s="35"/>
      <c r="N191" s="4">
        <v>0</v>
      </c>
      <c r="O191" s="35"/>
      <c r="P191" s="4">
        <v>5697</v>
      </c>
      <c r="Q191" s="35"/>
      <c r="R191" s="4">
        <v>4299</v>
      </c>
      <c r="S191" s="35"/>
      <c r="T191" s="4">
        <v>4857</v>
      </c>
      <c r="U191" s="35"/>
      <c r="V191" s="4">
        <v>0</v>
      </c>
      <c r="W191" s="35"/>
      <c r="X191" s="4">
        <v>0</v>
      </c>
      <c r="Y191" s="35"/>
      <c r="Z191" s="4">
        <v>0</v>
      </c>
      <c r="AA191" s="35"/>
      <c r="AB191" s="4">
        <v>0</v>
      </c>
      <c r="AC191" s="35"/>
      <c r="AD191" s="4">
        <v>0</v>
      </c>
      <c r="AE191" s="35"/>
      <c r="AF191" s="4">
        <f>SUM(F191:AD191)</f>
        <v>212285</v>
      </c>
      <c r="AG191" s="51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4"/>
    </row>
    <row r="192" spans="1:64">
      <c r="A192" s="4">
        <v>122</v>
      </c>
      <c r="B192" s="3" t="s">
        <v>431</v>
      </c>
      <c r="D192" s="3" t="s">
        <v>16</v>
      </c>
      <c r="F192" s="4">
        <v>0</v>
      </c>
      <c r="G192" s="4"/>
      <c r="H192" s="4">
        <v>0</v>
      </c>
      <c r="I192" s="4"/>
      <c r="J192" s="4">
        <v>0</v>
      </c>
      <c r="K192" s="4"/>
      <c r="L192" s="4">
        <v>1931144</v>
      </c>
      <c r="M192" s="4"/>
      <c r="N192" s="4">
        <v>0</v>
      </c>
      <c r="O192" s="4"/>
      <c r="P192" s="4">
        <v>0</v>
      </c>
      <c r="Q192" s="4"/>
      <c r="R192" s="4">
        <v>0</v>
      </c>
      <c r="S192" s="4"/>
      <c r="T192" s="4">
        <v>0</v>
      </c>
      <c r="U192" s="4"/>
      <c r="V192" s="4">
        <v>0</v>
      </c>
      <c r="W192" s="4"/>
      <c r="X192" s="4">
        <v>0</v>
      </c>
      <c r="Y192" s="4"/>
      <c r="Z192" s="4">
        <v>0</v>
      </c>
      <c r="AA192" s="4"/>
      <c r="AB192" s="4">
        <v>0</v>
      </c>
      <c r="AC192" s="4"/>
      <c r="AD192" s="4">
        <v>0</v>
      </c>
      <c r="AE192" s="4"/>
      <c r="AF192" s="4">
        <f>SUM(F192:AD192)</f>
        <v>1931144</v>
      </c>
    </row>
    <row r="193" spans="1:64">
      <c r="A193" s="4">
        <v>178</v>
      </c>
      <c r="B193" s="3" t="s">
        <v>606</v>
      </c>
      <c r="D193" s="3" t="s">
        <v>209</v>
      </c>
      <c r="F193" s="4">
        <v>2331060</v>
      </c>
      <c r="G193" s="4"/>
      <c r="H193" s="4">
        <v>0</v>
      </c>
      <c r="I193" s="4"/>
      <c r="J193" s="4">
        <v>390933</v>
      </c>
      <c r="K193" s="4"/>
      <c r="L193" s="4">
        <v>631365</v>
      </c>
      <c r="M193" s="4"/>
      <c r="N193" s="4">
        <v>0</v>
      </c>
      <c r="O193" s="4"/>
      <c r="P193" s="4">
        <v>0</v>
      </c>
      <c r="Q193" s="4"/>
      <c r="R193" s="4">
        <v>0</v>
      </c>
      <c r="S193" s="4"/>
      <c r="T193" s="4">
        <v>40348</v>
      </c>
      <c r="U193" s="4"/>
      <c r="V193" s="4">
        <v>0</v>
      </c>
      <c r="W193" s="4"/>
      <c r="X193" s="4">
        <v>0</v>
      </c>
      <c r="Y193" s="4"/>
      <c r="Z193" s="4">
        <v>0</v>
      </c>
      <c r="AA193" s="4"/>
      <c r="AB193" s="4">
        <v>0</v>
      </c>
      <c r="AC193" s="4"/>
      <c r="AD193" s="4">
        <v>0</v>
      </c>
      <c r="AE193" s="4"/>
      <c r="AF193" s="4">
        <f>SUM(F193:AD193)</f>
        <v>3393706</v>
      </c>
      <c r="AG193" s="51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4"/>
    </row>
    <row r="194" spans="1:64">
      <c r="A194" s="4">
        <v>105</v>
      </c>
      <c r="B194" s="3" t="s">
        <v>310</v>
      </c>
      <c r="D194" s="3" t="s">
        <v>60</v>
      </c>
      <c r="F194" s="4">
        <v>430128</v>
      </c>
      <c r="G194" s="4"/>
      <c r="H194" s="4">
        <v>147187</v>
      </c>
      <c r="I194" s="4"/>
      <c r="J194" s="4">
        <v>90371</v>
      </c>
      <c r="K194" s="4"/>
      <c r="L194" s="4">
        <v>157224</v>
      </c>
      <c r="M194" s="4"/>
      <c r="N194" s="4">
        <v>0</v>
      </c>
      <c r="O194" s="4"/>
      <c r="P194" s="4">
        <v>18647</v>
      </c>
      <c r="Q194" s="4"/>
      <c r="R194" s="4">
        <v>5841</v>
      </c>
      <c r="S194" s="4"/>
      <c r="T194" s="4">
        <v>1579</v>
      </c>
      <c r="U194" s="4"/>
      <c r="V194" s="4">
        <v>0</v>
      </c>
      <c r="W194" s="4"/>
      <c r="X194" s="4">
        <v>0</v>
      </c>
      <c r="Y194" s="4"/>
      <c r="Z194" s="4">
        <v>100000</v>
      </c>
      <c r="AA194" s="4"/>
      <c r="AB194" s="4">
        <v>0</v>
      </c>
      <c r="AC194" s="4"/>
      <c r="AD194" s="4">
        <v>0</v>
      </c>
      <c r="AE194" s="4"/>
      <c r="AF194" s="4">
        <f>SUM(F194:AD194)</f>
        <v>950977</v>
      </c>
      <c r="AG194" s="51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4"/>
    </row>
    <row r="195" spans="1:64">
      <c r="A195" s="4">
        <v>16</v>
      </c>
      <c r="B195" s="35" t="s">
        <v>461</v>
      </c>
      <c r="C195" s="35"/>
      <c r="D195" s="35" t="s">
        <v>472</v>
      </c>
      <c r="E195" s="35"/>
      <c r="F195" s="4">
        <v>1258375</v>
      </c>
      <c r="G195" s="35"/>
      <c r="H195" s="4">
        <v>387929</v>
      </c>
      <c r="I195" s="35"/>
      <c r="J195" s="4">
        <v>240914</v>
      </c>
      <c r="K195" s="35"/>
      <c r="L195" s="4">
        <v>197983</v>
      </c>
      <c r="M195" s="35"/>
      <c r="N195" s="4">
        <v>0</v>
      </c>
      <c r="O195" s="35"/>
      <c r="P195" s="4">
        <v>36267</v>
      </c>
      <c r="Q195" s="35"/>
      <c r="R195" s="4">
        <v>10692</v>
      </c>
      <c r="S195" s="35"/>
      <c r="T195" s="4">
        <v>31324</v>
      </c>
      <c r="U195" s="35"/>
      <c r="V195" s="4">
        <v>0</v>
      </c>
      <c r="W195" s="35"/>
      <c r="X195" s="4">
        <v>0</v>
      </c>
      <c r="Y195" s="35"/>
      <c r="Z195" s="4">
        <v>0</v>
      </c>
      <c r="AA195" s="35"/>
      <c r="AB195" s="4">
        <v>0</v>
      </c>
      <c r="AC195" s="35"/>
      <c r="AD195" s="4">
        <v>0</v>
      </c>
      <c r="AE195" s="35"/>
      <c r="AF195" s="4">
        <f>SUM(F195:AD195)</f>
        <v>2163484</v>
      </c>
    </row>
    <row r="196" spans="1:64">
      <c r="A196" s="4">
        <v>228</v>
      </c>
      <c r="B196" s="3" t="s">
        <v>441</v>
      </c>
      <c r="D196" s="3" t="s">
        <v>56</v>
      </c>
      <c r="F196" s="4">
        <f>187593+31503+17518</f>
        <v>236614</v>
      </c>
      <c r="G196" s="4"/>
      <c r="H196" s="4">
        <v>0</v>
      </c>
      <c r="I196" s="4"/>
      <c r="J196" s="4">
        <f>25440+6064+9785+8957+131788+40500</f>
        <v>222534</v>
      </c>
      <c r="K196" s="4"/>
      <c r="L196" s="4">
        <f>10646+2218+66723+690</f>
        <v>80277</v>
      </c>
      <c r="M196" s="4"/>
      <c r="N196" s="4">
        <v>0</v>
      </c>
      <c r="O196" s="4"/>
      <c r="P196" s="4">
        <v>7965</v>
      </c>
      <c r="Q196" s="4"/>
      <c r="R196" s="4">
        <f>1393+4934</f>
        <v>6327</v>
      </c>
      <c r="S196" s="4"/>
      <c r="T196" s="4">
        <v>27129</v>
      </c>
      <c r="U196" s="4"/>
      <c r="V196" s="4">
        <v>0</v>
      </c>
      <c r="W196" s="4"/>
      <c r="X196" s="4">
        <v>0</v>
      </c>
      <c r="Y196" s="4"/>
      <c r="Z196" s="4">
        <v>0</v>
      </c>
      <c r="AA196" s="4"/>
      <c r="AB196" s="4">
        <v>0</v>
      </c>
      <c r="AC196" s="4"/>
      <c r="AD196" s="4">
        <v>0</v>
      </c>
      <c r="AE196" s="4"/>
      <c r="AF196" s="4">
        <f>SUM(F196:AD196)</f>
        <v>580846</v>
      </c>
    </row>
    <row r="197" spans="1:64">
      <c r="A197" s="4">
        <v>33</v>
      </c>
      <c r="B197" s="35" t="s">
        <v>462</v>
      </c>
      <c r="C197" s="35"/>
      <c r="D197" s="35" t="s">
        <v>479</v>
      </c>
      <c r="E197" s="35"/>
      <c r="F197" s="4">
        <v>357032</v>
      </c>
      <c r="G197" s="35"/>
      <c r="H197" s="4">
        <v>99013</v>
      </c>
      <c r="I197" s="35"/>
      <c r="J197" s="4">
        <v>77300</v>
      </c>
      <c r="K197" s="35"/>
      <c r="L197" s="4">
        <v>40860</v>
      </c>
      <c r="M197" s="35"/>
      <c r="N197" s="4">
        <v>0</v>
      </c>
      <c r="O197" s="35"/>
      <c r="P197" s="4">
        <v>22177</v>
      </c>
      <c r="Q197" s="35"/>
      <c r="R197" s="4">
        <v>3672</v>
      </c>
      <c r="S197" s="35"/>
      <c r="T197" s="4">
        <v>3440</v>
      </c>
      <c r="U197" s="35"/>
      <c r="V197" s="4">
        <v>0</v>
      </c>
      <c r="W197" s="35"/>
      <c r="X197" s="4">
        <v>0</v>
      </c>
      <c r="Y197" s="35"/>
      <c r="Z197" s="4">
        <v>0</v>
      </c>
      <c r="AA197" s="35"/>
      <c r="AB197" s="4">
        <v>0</v>
      </c>
      <c r="AC197" s="35"/>
      <c r="AD197" s="4">
        <v>0</v>
      </c>
      <c r="AE197" s="35"/>
      <c r="AF197" s="4">
        <f>SUM(F197:AD197)</f>
        <v>603494</v>
      </c>
    </row>
    <row r="198" spans="1:64">
      <c r="A198" s="4">
        <v>112</v>
      </c>
      <c r="B198" s="3" t="s">
        <v>341</v>
      </c>
      <c r="D198" s="3" t="s">
        <v>89</v>
      </c>
      <c r="F198" s="4">
        <v>150528</v>
      </c>
      <c r="G198" s="4"/>
      <c r="H198" s="4">
        <f>17558+2665</f>
        <v>20223</v>
      </c>
      <c r="I198" s="4"/>
      <c r="J198" s="4">
        <v>45524</v>
      </c>
      <c r="K198" s="4"/>
      <c r="L198" s="4">
        <v>46699</v>
      </c>
      <c r="M198" s="4"/>
      <c r="N198" s="4">
        <v>0</v>
      </c>
      <c r="O198" s="4"/>
      <c r="P198" s="4">
        <v>8813</v>
      </c>
      <c r="Q198" s="4"/>
      <c r="R198" s="4">
        <v>3024</v>
      </c>
      <c r="S198" s="4"/>
      <c r="T198" s="4">
        <v>16626</v>
      </c>
      <c r="U198" s="4"/>
      <c r="V198" s="4">
        <v>0</v>
      </c>
      <c r="W198" s="4"/>
      <c r="X198" s="4">
        <v>0</v>
      </c>
      <c r="Y198" s="4"/>
      <c r="Z198" s="4">
        <v>0</v>
      </c>
      <c r="AA198" s="4"/>
      <c r="AB198" s="4">
        <v>0</v>
      </c>
      <c r="AC198" s="4"/>
      <c r="AD198" s="4">
        <v>0</v>
      </c>
      <c r="AE198" s="4"/>
      <c r="AF198" s="4">
        <f>SUM(F198:AD198)</f>
        <v>291437</v>
      </c>
    </row>
    <row r="199" spans="1:64">
      <c r="A199" s="4">
        <v>60</v>
      </c>
      <c r="B199" s="3" t="s">
        <v>211</v>
      </c>
      <c r="D199" s="3" t="s">
        <v>81</v>
      </c>
      <c r="F199" s="4">
        <v>170008</v>
      </c>
      <c r="G199" s="4"/>
      <c r="H199" s="4">
        <v>36702</v>
      </c>
      <c r="I199" s="4"/>
      <c r="J199" s="4">
        <v>58074</v>
      </c>
      <c r="K199" s="4"/>
      <c r="L199" s="4">
        <v>30756</v>
      </c>
      <c r="M199" s="4"/>
      <c r="N199" s="4">
        <v>0</v>
      </c>
      <c r="O199" s="4"/>
      <c r="P199" s="4">
        <v>4938</v>
      </c>
      <c r="Q199" s="4"/>
      <c r="R199" s="4">
        <v>1273</v>
      </c>
      <c r="S199" s="4"/>
      <c r="T199" s="4">
        <v>8365</v>
      </c>
      <c r="U199" s="4"/>
      <c r="V199" s="4">
        <v>0</v>
      </c>
      <c r="W199" s="4"/>
      <c r="X199" s="4">
        <v>0</v>
      </c>
      <c r="Y199" s="4"/>
      <c r="Z199" s="4">
        <v>0</v>
      </c>
      <c r="AA199" s="4"/>
      <c r="AB199" s="4">
        <v>0</v>
      </c>
      <c r="AC199" s="4"/>
      <c r="AD199" s="4">
        <v>0</v>
      </c>
      <c r="AE199" s="4"/>
      <c r="AF199" s="4">
        <f>SUM(F199:AD199)</f>
        <v>310116</v>
      </c>
    </row>
    <row r="200" spans="1:64">
      <c r="A200" s="4">
        <v>186</v>
      </c>
      <c r="B200" s="35" t="s">
        <v>463</v>
      </c>
      <c r="C200" s="35"/>
      <c r="D200" s="35" t="s">
        <v>498</v>
      </c>
      <c r="E200" s="35"/>
      <c r="F200" s="4">
        <v>65157</v>
      </c>
      <c r="G200" s="35"/>
      <c r="H200" s="4">
        <v>10436</v>
      </c>
      <c r="I200" s="35"/>
      <c r="J200" s="4">
        <v>30544</v>
      </c>
      <c r="K200" s="35"/>
      <c r="L200" s="4">
        <v>19188</v>
      </c>
      <c r="M200" s="35"/>
      <c r="N200" s="4">
        <v>0</v>
      </c>
      <c r="O200" s="35"/>
      <c r="P200" s="4">
        <v>3187</v>
      </c>
      <c r="Q200" s="35"/>
      <c r="R200" s="4">
        <v>424</v>
      </c>
      <c r="S200" s="35"/>
      <c r="T200" s="4">
        <v>2213</v>
      </c>
      <c r="U200" s="35"/>
      <c r="V200" s="4">
        <v>0</v>
      </c>
      <c r="W200" s="35"/>
      <c r="X200" s="4">
        <v>0</v>
      </c>
      <c r="Y200" s="35"/>
      <c r="Z200" s="4">
        <v>0</v>
      </c>
      <c r="AA200" s="35"/>
      <c r="AB200" s="4">
        <v>0</v>
      </c>
      <c r="AC200" s="35"/>
      <c r="AD200" s="4">
        <v>0</v>
      </c>
      <c r="AE200" s="35"/>
      <c r="AF200" s="4">
        <f>SUM(F200:AD200)</f>
        <v>131149</v>
      </c>
    </row>
    <row r="201" spans="1:64">
      <c r="A201" s="4">
        <v>235</v>
      </c>
      <c r="B201" s="35" t="s">
        <v>212</v>
      </c>
      <c r="C201" s="35"/>
      <c r="D201" s="35" t="s">
        <v>501</v>
      </c>
      <c r="E201" s="35"/>
      <c r="F201" s="4">
        <v>154246</v>
      </c>
      <c r="G201" s="35"/>
      <c r="H201" s="4">
        <v>52354</v>
      </c>
      <c r="I201" s="35"/>
      <c r="J201" s="4">
        <v>98483</v>
      </c>
      <c r="K201" s="35"/>
      <c r="L201" s="4">
        <v>65198</v>
      </c>
      <c r="M201" s="35"/>
      <c r="N201" s="4">
        <v>0</v>
      </c>
      <c r="O201" s="35"/>
      <c r="P201" s="4">
        <v>16094</v>
      </c>
      <c r="Q201" s="35"/>
      <c r="R201" s="4">
        <v>9849</v>
      </c>
      <c r="S201" s="35"/>
      <c r="T201" s="4">
        <v>500</v>
      </c>
      <c r="U201" s="35"/>
      <c r="V201" s="4">
        <v>0</v>
      </c>
      <c r="W201" s="35"/>
      <c r="X201" s="4">
        <v>0</v>
      </c>
      <c r="Y201" s="35"/>
      <c r="Z201" s="4">
        <v>26729</v>
      </c>
      <c r="AA201" s="35"/>
      <c r="AB201" s="4">
        <v>0</v>
      </c>
      <c r="AC201" s="35"/>
      <c r="AD201" s="4">
        <v>750</v>
      </c>
      <c r="AE201" s="35"/>
      <c r="AF201" s="4">
        <f>SUM(F201:AD201)</f>
        <v>424203</v>
      </c>
    </row>
    <row r="202" spans="1:64">
      <c r="A202" s="4">
        <v>229</v>
      </c>
      <c r="B202" s="3" t="s">
        <v>213</v>
      </c>
      <c r="D202" s="3" t="s">
        <v>56</v>
      </c>
      <c r="F202" s="4">
        <v>387858</v>
      </c>
      <c r="G202" s="4"/>
      <c r="H202" s="4">
        <v>188318</v>
      </c>
      <c r="I202" s="4"/>
      <c r="J202" s="4">
        <v>83978</v>
      </c>
      <c r="K202" s="4"/>
      <c r="L202" s="4">
        <v>83554</v>
      </c>
      <c r="M202" s="4"/>
      <c r="N202" s="4">
        <v>0</v>
      </c>
      <c r="O202" s="4"/>
      <c r="P202" s="4">
        <v>16774</v>
      </c>
      <c r="Q202" s="4"/>
      <c r="R202" s="4">
        <v>8067</v>
      </c>
      <c r="S202" s="4"/>
      <c r="T202" s="4">
        <v>9990</v>
      </c>
      <c r="U202" s="4"/>
      <c r="V202" s="4">
        <v>0</v>
      </c>
      <c r="W202" s="4"/>
      <c r="X202" s="4">
        <v>0</v>
      </c>
      <c r="Y202" s="4"/>
      <c r="Z202" s="4">
        <v>0</v>
      </c>
      <c r="AA202" s="4"/>
      <c r="AB202" s="4">
        <v>0</v>
      </c>
      <c r="AC202" s="4"/>
      <c r="AD202" s="4">
        <v>0</v>
      </c>
      <c r="AE202" s="4"/>
      <c r="AF202" s="4">
        <f>SUM(F202:AD202)</f>
        <v>778539</v>
      </c>
    </row>
    <row r="203" spans="1:64">
      <c r="A203" s="4">
        <v>85</v>
      </c>
      <c r="B203" s="3" t="s">
        <v>216</v>
      </c>
      <c r="D203" s="3" t="s">
        <v>42</v>
      </c>
      <c r="F203" s="4">
        <v>86736</v>
      </c>
      <c r="G203" s="4"/>
      <c r="H203" s="4">
        <v>13449</v>
      </c>
      <c r="I203" s="4"/>
      <c r="J203" s="4">
        <v>33133</v>
      </c>
      <c r="K203" s="4"/>
      <c r="L203" s="4">
        <v>16820</v>
      </c>
      <c r="M203" s="4"/>
      <c r="N203" s="4">
        <v>0</v>
      </c>
      <c r="O203" s="4"/>
      <c r="P203" s="4">
        <v>4720</v>
      </c>
      <c r="Q203" s="4"/>
      <c r="R203" s="4">
        <v>379</v>
      </c>
      <c r="S203" s="4"/>
      <c r="T203" s="4">
        <v>1705</v>
      </c>
      <c r="U203" s="4"/>
      <c r="V203" s="4">
        <v>0</v>
      </c>
      <c r="W203" s="4"/>
      <c r="X203" s="4">
        <v>0</v>
      </c>
      <c r="Y203" s="4"/>
      <c r="Z203" s="4">
        <v>0</v>
      </c>
      <c r="AA203" s="4"/>
      <c r="AB203" s="4">
        <v>0</v>
      </c>
      <c r="AC203" s="4"/>
      <c r="AD203" s="4">
        <v>0</v>
      </c>
      <c r="AE203" s="4"/>
      <c r="AF203" s="4">
        <f>SUM(F203:AD203)</f>
        <v>156942</v>
      </c>
    </row>
    <row r="204" spans="1:64">
      <c r="A204" s="4">
        <v>250</v>
      </c>
      <c r="B204" s="35" t="s">
        <v>217</v>
      </c>
      <c r="C204" s="35"/>
      <c r="D204" s="35" t="s">
        <v>503</v>
      </c>
      <c r="E204" s="35"/>
      <c r="F204" s="4">
        <v>244855</v>
      </c>
      <c r="G204" s="35"/>
      <c r="H204" s="4">
        <v>80806</v>
      </c>
      <c r="I204" s="35"/>
      <c r="J204" s="4">
        <v>46790</v>
      </c>
      <c r="K204" s="35"/>
      <c r="L204" s="4">
        <v>48763</v>
      </c>
      <c r="M204" s="35"/>
      <c r="N204" s="4">
        <v>0</v>
      </c>
      <c r="O204" s="35"/>
      <c r="P204" s="4">
        <v>9532</v>
      </c>
      <c r="Q204" s="35"/>
      <c r="R204" s="4">
        <v>4204</v>
      </c>
      <c r="S204" s="35"/>
      <c r="T204" s="4">
        <v>1295</v>
      </c>
      <c r="U204" s="35"/>
      <c r="V204" s="4">
        <v>0</v>
      </c>
      <c r="W204" s="35"/>
      <c r="X204" s="4">
        <v>0</v>
      </c>
      <c r="Y204" s="35"/>
      <c r="Z204" s="4">
        <v>0</v>
      </c>
      <c r="AA204" s="35"/>
      <c r="AB204" s="4">
        <v>0</v>
      </c>
      <c r="AC204" s="35"/>
      <c r="AD204" s="4">
        <v>0</v>
      </c>
      <c r="AE204" s="35"/>
      <c r="AF204" s="4">
        <f>SUM(F204:AD204)</f>
        <v>436245</v>
      </c>
      <c r="AG204" s="4"/>
    </row>
    <row r="205" spans="1:64">
      <c r="A205" s="4">
        <v>213</v>
      </c>
      <c r="B205" s="3" t="s">
        <v>218</v>
      </c>
      <c r="D205" s="3" t="s">
        <v>25</v>
      </c>
      <c r="F205" s="4">
        <f>277040+95833</f>
        <v>372873</v>
      </c>
      <c r="G205" s="4"/>
      <c r="H205" s="4">
        <v>0</v>
      </c>
      <c r="I205" s="4"/>
      <c r="J205" s="4">
        <v>0</v>
      </c>
      <c r="K205" s="4"/>
      <c r="L205" s="4">
        <v>783317</v>
      </c>
      <c r="M205" s="4"/>
      <c r="N205" s="4">
        <v>151984</v>
      </c>
      <c r="O205" s="4"/>
      <c r="P205" s="4">
        <v>0</v>
      </c>
      <c r="Q205" s="4"/>
      <c r="R205" s="4">
        <v>627461</v>
      </c>
      <c r="S205" s="4"/>
      <c r="T205" s="4">
        <v>30557</v>
      </c>
      <c r="U205" s="4"/>
      <c r="V205" s="4">
        <v>0</v>
      </c>
      <c r="W205" s="4"/>
      <c r="X205" s="4">
        <v>0</v>
      </c>
      <c r="Y205" s="4"/>
      <c r="Z205" s="4">
        <v>0</v>
      </c>
      <c r="AA205" s="4"/>
      <c r="AB205" s="4">
        <v>0</v>
      </c>
      <c r="AC205" s="4"/>
      <c r="AD205" s="4">
        <v>0</v>
      </c>
      <c r="AE205" s="4"/>
      <c r="AF205" s="4">
        <f>SUM(F205:AD205)</f>
        <v>1966192</v>
      </c>
    </row>
    <row r="206" spans="1:64" s="4" customFormat="1">
      <c r="A206" s="4">
        <v>251</v>
      </c>
      <c r="B206" s="3" t="s">
        <v>443</v>
      </c>
      <c r="C206" s="3"/>
      <c r="D206" s="3" t="s">
        <v>65</v>
      </c>
      <c r="E206" s="3"/>
      <c r="F206" s="4">
        <v>6288</v>
      </c>
      <c r="H206" s="4">
        <v>482</v>
      </c>
      <c r="J206" s="4">
        <v>1713</v>
      </c>
      <c r="L206" s="4">
        <v>14013</v>
      </c>
      <c r="N206" s="4">
        <v>0</v>
      </c>
      <c r="P206" s="4">
        <v>1169</v>
      </c>
      <c r="R206" s="4">
        <v>1471</v>
      </c>
      <c r="T206" s="4">
        <v>0</v>
      </c>
      <c r="V206" s="4">
        <v>0</v>
      </c>
      <c r="X206" s="4">
        <v>0</v>
      </c>
      <c r="Z206" s="4">
        <v>0</v>
      </c>
      <c r="AB206" s="4">
        <v>0</v>
      </c>
      <c r="AD206" s="4">
        <v>0</v>
      </c>
      <c r="AF206" s="4">
        <f>SUM(F206:AD206)</f>
        <v>25136</v>
      </c>
      <c r="AG206" s="51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</row>
    <row r="207" spans="1:64" s="4" customFormat="1">
      <c r="A207" s="4">
        <v>113</v>
      </c>
      <c r="B207" s="3" t="s">
        <v>219</v>
      </c>
      <c r="C207" s="3"/>
      <c r="D207" s="3" t="s">
        <v>89</v>
      </c>
      <c r="E207" s="3"/>
      <c r="F207" s="4">
        <v>524849</v>
      </c>
      <c r="H207" s="4">
        <v>157510</v>
      </c>
      <c r="J207" s="4">
        <v>156669</v>
      </c>
      <c r="L207" s="4">
        <v>71346</v>
      </c>
      <c r="N207" s="4">
        <v>0</v>
      </c>
      <c r="P207" s="4">
        <v>15280</v>
      </c>
      <c r="R207" s="4">
        <v>5848</v>
      </c>
      <c r="T207" s="4">
        <v>5240</v>
      </c>
      <c r="V207" s="4">
        <v>0</v>
      </c>
      <c r="X207" s="4">
        <v>0</v>
      </c>
      <c r="Z207" s="4">
        <v>25023</v>
      </c>
      <c r="AB207" s="4">
        <v>0</v>
      </c>
      <c r="AD207" s="4">
        <v>0</v>
      </c>
      <c r="AF207" s="4">
        <f>SUM(F207:AD207)</f>
        <v>961765</v>
      </c>
      <c r="AG207" s="51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</row>
    <row r="208" spans="1:64" s="4" customFormat="1">
      <c r="A208" s="4">
        <v>183</v>
      </c>
      <c r="B208" s="3" t="s">
        <v>220</v>
      </c>
      <c r="C208" s="3"/>
      <c r="D208" s="3" t="s">
        <v>158</v>
      </c>
      <c r="E208" s="3"/>
      <c r="F208" s="4">
        <v>146400</v>
      </c>
      <c r="H208" s="4">
        <v>45673</v>
      </c>
      <c r="J208" s="4">
        <v>30591</v>
      </c>
      <c r="L208" s="4">
        <v>59280</v>
      </c>
      <c r="N208" s="4">
        <v>0</v>
      </c>
      <c r="P208" s="4">
        <v>13109</v>
      </c>
      <c r="R208" s="4">
        <v>4313</v>
      </c>
      <c r="T208" s="4">
        <v>388749</v>
      </c>
      <c r="V208" s="4">
        <v>0</v>
      </c>
      <c r="X208" s="4">
        <v>0</v>
      </c>
      <c r="Z208" s="4">
        <v>0</v>
      </c>
      <c r="AB208" s="4">
        <v>0</v>
      </c>
      <c r="AD208" s="4">
        <v>0</v>
      </c>
      <c r="AF208" s="4">
        <f>SUM(F208:AD208)</f>
        <v>688115</v>
      </c>
      <c r="AG208" s="51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</row>
    <row r="209" spans="1:64" s="4" customFormat="1">
      <c r="A209" s="4">
        <v>116</v>
      </c>
      <c r="B209" s="3" t="s">
        <v>221</v>
      </c>
      <c r="C209" s="3"/>
      <c r="D209" s="3" t="s">
        <v>170</v>
      </c>
      <c r="E209" s="3"/>
      <c r="F209" s="4">
        <v>145325</v>
      </c>
      <c r="H209" s="4">
        <v>209</v>
      </c>
      <c r="J209" s="4">
        <v>54698</v>
      </c>
      <c r="L209" s="4">
        <v>29170</v>
      </c>
      <c r="N209" s="4">
        <v>0</v>
      </c>
      <c r="P209" s="4">
        <v>6575</v>
      </c>
      <c r="R209" s="4">
        <v>2434</v>
      </c>
      <c r="T209" s="4">
        <v>11089</v>
      </c>
      <c r="V209" s="4">
        <v>0</v>
      </c>
      <c r="X209" s="4">
        <v>0</v>
      </c>
      <c r="Z209" s="4">
        <v>0</v>
      </c>
      <c r="AB209" s="4">
        <v>0</v>
      </c>
      <c r="AD209" s="4">
        <v>0</v>
      </c>
      <c r="AF209" s="4">
        <f>SUM(F209:AD209)</f>
        <v>249500</v>
      </c>
      <c r="AG209" s="51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</row>
    <row r="210" spans="1:64">
      <c r="A210" s="4">
        <v>146</v>
      </c>
      <c r="B210" s="3" t="s">
        <v>222</v>
      </c>
      <c r="D210" s="3" t="s">
        <v>57</v>
      </c>
      <c r="F210" s="4">
        <v>513688</v>
      </c>
      <c r="G210" s="4"/>
      <c r="H210" s="4">
        <v>161872</v>
      </c>
      <c r="I210" s="4"/>
      <c r="J210" s="4">
        <v>195323</v>
      </c>
      <c r="K210" s="4"/>
      <c r="L210" s="4">
        <v>220909</v>
      </c>
      <c r="M210" s="4"/>
      <c r="N210" s="4">
        <v>0</v>
      </c>
      <c r="O210" s="4"/>
      <c r="P210" s="4">
        <v>24997</v>
      </c>
      <c r="Q210" s="4"/>
      <c r="R210" s="4">
        <v>2454</v>
      </c>
      <c r="S210" s="4"/>
      <c r="T210" s="4">
        <v>9814</v>
      </c>
      <c r="U210" s="4"/>
      <c r="V210" s="4">
        <v>0</v>
      </c>
      <c r="W210" s="4"/>
      <c r="X210" s="4">
        <v>0</v>
      </c>
      <c r="Y210" s="4"/>
      <c r="Z210" s="4">
        <v>0</v>
      </c>
      <c r="AA210" s="4"/>
      <c r="AB210" s="4">
        <v>0</v>
      </c>
      <c r="AC210" s="4"/>
      <c r="AD210" s="4">
        <v>0</v>
      </c>
      <c r="AE210" s="4"/>
      <c r="AF210" s="4">
        <f>SUM(F210:AD210)</f>
        <v>1129057</v>
      </c>
      <c r="AR210" s="3">
        <v>838.96</v>
      </c>
    </row>
    <row r="211" spans="1:64" s="28" customFormat="1">
      <c r="A211" s="4">
        <v>246</v>
      </c>
      <c r="B211" s="3" t="s">
        <v>224</v>
      </c>
      <c r="C211" s="3"/>
      <c r="D211" s="3" t="s">
        <v>225</v>
      </c>
      <c r="E211" s="3"/>
      <c r="F211" s="4">
        <f>170036+60243</f>
        <v>230279</v>
      </c>
      <c r="G211" s="4"/>
      <c r="H211" s="4">
        <v>0</v>
      </c>
      <c r="I211" s="4"/>
      <c r="J211" s="4">
        <v>0</v>
      </c>
      <c r="K211" s="4"/>
      <c r="L211" s="4">
        <v>481596</v>
      </c>
      <c r="M211" s="4"/>
      <c r="N211" s="4">
        <v>122923</v>
      </c>
      <c r="O211" s="4"/>
      <c r="P211" s="4">
        <v>0</v>
      </c>
      <c r="Q211" s="4"/>
      <c r="R211" s="4">
        <v>157240</v>
      </c>
      <c r="S211" s="4"/>
      <c r="T211" s="4">
        <v>16659</v>
      </c>
      <c r="U211" s="4"/>
      <c r="V211" s="4">
        <v>0</v>
      </c>
      <c r="W211" s="4"/>
      <c r="X211" s="4">
        <v>0</v>
      </c>
      <c r="Y211" s="4"/>
      <c r="Z211" s="4">
        <v>0</v>
      </c>
      <c r="AA211" s="4"/>
      <c r="AB211" s="4">
        <v>0</v>
      </c>
      <c r="AC211" s="4"/>
      <c r="AD211" s="4">
        <v>0</v>
      </c>
      <c r="AE211" s="4"/>
      <c r="AF211" s="4">
        <f>SUM(F211:AD211)</f>
        <v>1008697</v>
      </c>
      <c r="AG211" s="51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4"/>
    </row>
    <row r="212" spans="1:64">
      <c r="A212" s="4">
        <v>136</v>
      </c>
      <c r="B212" s="3" t="s">
        <v>226</v>
      </c>
      <c r="D212" s="3" t="s">
        <v>41</v>
      </c>
      <c r="F212" s="4">
        <v>437691</v>
      </c>
      <c r="G212" s="4"/>
      <c r="H212" s="4">
        <v>117471</v>
      </c>
      <c r="I212" s="4"/>
      <c r="J212" s="4">
        <v>56267</v>
      </c>
      <c r="K212" s="4"/>
      <c r="L212" s="4">
        <v>169097</v>
      </c>
      <c r="M212" s="4"/>
      <c r="N212" s="4">
        <v>0</v>
      </c>
      <c r="O212" s="4"/>
      <c r="P212" s="4">
        <v>18383</v>
      </c>
      <c r="Q212" s="4"/>
      <c r="R212" s="4">
        <v>2230</v>
      </c>
      <c r="S212" s="4"/>
      <c r="T212" s="4">
        <v>71804</v>
      </c>
      <c r="U212" s="4"/>
      <c r="V212" s="4">
        <v>0</v>
      </c>
      <c r="W212" s="4"/>
      <c r="X212" s="4">
        <v>0</v>
      </c>
      <c r="Y212" s="4"/>
      <c r="Z212" s="4">
        <v>0</v>
      </c>
      <c r="AA212" s="4"/>
      <c r="AB212" s="4">
        <v>0</v>
      </c>
      <c r="AC212" s="4"/>
      <c r="AD212" s="4">
        <v>0</v>
      </c>
      <c r="AE212" s="4"/>
      <c r="AF212" s="4">
        <f>SUM(F212:AD212)</f>
        <v>872943</v>
      </c>
      <c r="AG212" s="51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4"/>
    </row>
    <row r="213" spans="1:64" s="28" customFormat="1">
      <c r="A213" s="4">
        <v>106</v>
      </c>
      <c r="B213" s="3" t="s">
        <v>227</v>
      </c>
      <c r="C213" s="3"/>
      <c r="D213" s="3" t="s">
        <v>60</v>
      </c>
      <c r="E213" s="3"/>
      <c r="F213" s="4">
        <v>157915</v>
      </c>
      <c r="G213" s="4"/>
      <c r="H213" s="4">
        <v>26795</v>
      </c>
      <c r="I213" s="4"/>
      <c r="J213" s="4">
        <v>26937</v>
      </c>
      <c r="K213" s="4"/>
      <c r="L213" s="4">
        <v>38392</v>
      </c>
      <c r="M213" s="4"/>
      <c r="N213" s="4">
        <v>0</v>
      </c>
      <c r="O213" s="4"/>
      <c r="P213" s="4">
        <v>10337</v>
      </c>
      <c r="Q213" s="4"/>
      <c r="R213" s="4">
        <v>3971</v>
      </c>
      <c r="S213" s="4"/>
      <c r="T213" s="4">
        <v>6623</v>
      </c>
      <c r="U213" s="4"/>
      <c r="V213" s="4">
        <v>0</v>
      </c>
      <c r="W213" s="4"/>
      <c r="X213" s="4">
        <v>0</v>
      </c>
      <c r="Y213" s="4"/>
      <c r="Z213" s="4">
        <v>0</v>
      </c>
      <c r="AA213" s="4"/>
      <c r="AB213" s="4">
        <v>0</v>
      </c>
      <c r="AC213" s="4"/>
      <c r="AD213" s="4">
        <v>0</v>
      </c>
      <c r="AE213" s="4"/>
      <c r="AF213" s="4">
        <f>SUM(F213:AD213)</f>
        <v>270970</v>
      </c>
      <c r="AG213" s="51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4"/>
    </row>
    <row r="214" spans="1:64" s="28" customFormat="1">
      <c r="A214" s="4">
        <v>184</v>
      </c>
      <c r="B214" s="3" t="s">
        <v>228</v>
      </c>
      <c r="C214" s="3"/>
      <c r="D214" s="3" t="s">
        <v>229</v>
      </c>
      <c r="E214" s="3"/>
      <c r="F214" s="4">
        <v>452273</v>
      </c>
      <c r="G214" s="4"/>
      <c r="H214" s="4">
        <v>129735</v>
      </c>
      <c r="I214" s="4"/>
      <c r="J214" s="4">
        <v>97988</v>
      </c>
      <c r="K214" s="4"/>
      <c r="L214" s="4">
        <v>65541</v>
      </c>
      <c r="M214" s="4"/>
      <c r="N214" s="4">
        <v>0</v>
      </c>
      <c r="O214" s="4"/>
      <c r="P214" s="4">
        <v>16537</v>
      </c>
      <c r="Q214" s="4"/>
      <c r="R214" s="4">
        <v>10331</v>
      </c>
      <c r="S214" s="4"/>
      <c r="T214" s="4">
        <v>13504</v>
      </c>
      <c r="U214" s="4"/>
      <c r="V214" s="4">
        <v>0</v>
      </c>
      <c r="W214" s="4"/>
      <c r="X214" s="4">
        <v>0</v>
      </c>
      <c r="Y214" s="4"/>
      <c r="Z214" s="4">
        <v>0</v>
      </c>
      <c r="AA214" s="4"/>
      <c r="AB214" s="4">
        <v>0</v>
      </c>
      <c r="AC214" s="4"/>
      <c r="AD214" s="4">
        <v>0</v>
      </c>
      <c r="AE214" s="4"/>
      <c r="AF214" s="4">
        <f>SUM(F214:AD214)</f>
        <v>785909</v>
      </c>
      <c r="AG214" s="51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4"/>
    </row>
    <row r="215" spans="1:64" s="4" customFormat="1">
      <c r="A215" s="4">
        <v>252</v>
      </c>
      <c r="B215" s="35" t="s">
        <v>466</v>
      </c>
      <c r="C215" s="35"/>
      <c r="D215" s="35" t="s">
        <v>503</v>
      </c>
      <c r="E215" s="35"/>
      <c r="F215" s="4">
        <v>191931</v>
      </c>
      <c r="G215" s="35"/>
      <c r="H215" s="4">
        <v>40101</v>
      </c>
      <c r="I215" s="35"/>
      <c r="J215" s="4">
        <v>50324</v>
      </c>
      <c r="K215" s="35"/>
      <c r="L215" s="4">
        <v>72754</v>
      </c>
      <c r="M215" s="35"/>
      <c r="N215" s="4">
        <v>0</v>
      </c>
      <c r="O215" s="35"/>
      <c r="P215" s="4">
        <v>10525</v>
      </c>
      <c r="Q215" s="35"/>
      <c r="R215" s="4">
        <v>1830</v>
      </c>
      <c r="S215" s="35"/>
      <c r="T215" s="4">
        <v>2110</v>
      </c>
      <c r="U215" s="35"/>
      <c r="V215" s="4">
        <v>0</v>
      </c>
      <c r="W215" s="35"/>
      <c r="X215" s="4">
        <v>0</v>
      </c>
      <c r="Y215" s="35"/>
      <c r="Z215" s="4">
        <v>0</v>
      </c>
      <c r="AA215" s="35"/>
      <c r="AB215" s="4">
        <v>38541</v>
      </c>
      <c r="AC215" s="35"/>
      <c r="AD215" s="4">
        <v>0</v>
      </c>
      <c r="AE215" s="35"/>
      <c r="AF215" s="4">
        <f>SUM(F215:AD215)</f>
        <v>408116</v>
      </c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</row>
    <row r="216" spans="1:64" s="4" customFormat="1">
      <c r="A216" s="4">
        <v>219</v>
      </c>
      <c r="B216" s="3" t="s">
        <v>232</v>
      </c>
      <c r="C216" s="3"/>
      <c r="D216" s="3" t="s">
        <v>22</v>
      </c>
      <c r="E216" s="3"/>
      <c r="F216" s="4">
        <v>249381</v>
      </c>
      <c r="H216" s="4">
        <v>47167</v>
      </c>
      <c r="J216" s="4">
        <v>124936</v>
      </c>
      <c r="L216" s="4">
        <v>68434</v>
      </c>
      <c r="N216" s="4">
        <v>0</v>
      </c>
      <c r="P216" s="4">
        <v>6131</v>
      </c>
      <c r="R216" s="4">
        <v>2369</v>
      </c>
      <c r="T216" s="4">
        <v>4949</v>
      </c>
      <c r="V216" s="4">
        <v>0</v>
      </c>
      <c r="X216" s="4">
        <v>0</v>
      </c>
      <c r="Z216" s="4">
        <v>0</v>
      </c>
      <c r="AB216" s="4">
        <v>0</v>
      </c>
      <c r="AD216" s="4">
        <v>0</v>
      </c>
      <c r="AF216" s="4">
        <f>SUM(F216:AD216)</f>
        <v>503367</v>
      </c>
      <c r="AG216" s="51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</row>
    <row r="217" spans="1:64" s="4" customFormat="1">
      <c r="A217" s="4">
        <v>187</v>
      </c>
      <c r="B217" s="35" t="s">
        <v>607</v>
      </c>
      <c r="C217" s="35"/>
      <c r="D217" s="35" t="s">
        <v>498</v>
      </c>
      <c r="E217" s="35"/>
      <c r="F217" s="4">
        <v>589299</v>
      </c>
      <c r="G217" s="35"/>
      <c r="H217" s="4">
        <v>129660</v>
      </c>
      <c r="I217" s="35"/>
      <c r="J217" s="4">
        <v>296180</v>
      </c>
      <c r="K217" s="35"/>
      <c r="L217" s="4">
        <v>178397</v>
      </c>
      <c r="M217" s="35"/>
      <c r="N217" s="4">
        <v>0</v>
      </c>
      <c r="O217" s="35"/>
      <c r="P217" s="4">
        <v>52711</v>
      </c>
      <c r="Q217" s="35"/>
      <c r="R217" s="4">
        <v>16461</v>
      </c>
      <c r="S217" s="35"/>
      <c r="T217" s="4">
        <v>31079</v>
      </c>
      <c r="U217" s="35"/>
      <c r="V217" s="4">
        <v>0</v>
      </c>
      <c r="W217" s="35"/>
      <c r="X217" s="4">
        <v>0</v>
      </c>
      <c r="Y217" s="35"/>
      <c r="Z217" s="4">
        <v>0</v>
      </c>
      <c r="AA217" s="35"/>
      <c r="AB217" s="4">
        <v>0</v>
      </c>
      <c r="AC217" s="35"/>
      <c r="AD217" s="4">
        <v>0</v>
      </c>
      <c r="AE217" s="35"/>
      <c r="AF217" s="4">
        <f>SUM(F217:AD217)</f>
        <v>1293787</v>
      </c>
      <c r="AG217" s="51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</row>
    <row r="218" spans="1:64">
      <c r="A218" s="4">
        <v>176</v>
      </c>
      <c r="B218" s="3" t="s">
        <v>233</v>
      </c>
      <c r="D218" s="3" t="s">
        <v>68</v>
      </c>
      <c r="F218" s="4">
        <v>93086</v>
      </c>
      <c r="G218" s="4"/>
      <c r="H218" s="4">
        <v>14533</v>
      </c>
      <c r="I218" s="4"/>
      <c r="J218" s="4">
        <v>37748</v>
      </c>
      <c r="K218" s="4"/>
      <c r="L218" s="4">
        <f>29441</f>
        <v>29441</v>
      </c>
      <c r="M218" s="4"/>
      <c r="N218" s="4">
        <v>0</v>
      </c>
      <c r="O218" s="4"/>
      <c r="P218" s="4">
        <v>12572</v>
      </c>
      <c r="Q218" s="4"/>
      <c r="R218" s="4">
        <v>953</v>
      </c>
      <c r="S218" s="4"/>
      <c r="T218" s="4">
        <v>86152</v>
      </c>
      <c r="U218" s="4"/>
      <c r="V218" s="4">
        <v>0</v>
      </c>
      <c r="W218" s="4"/>
      <c r="X218" s="4">
        <v>0</v>
      </c>
      <c r="Y218" s="4"/>
      <c r="Z218" s="4">
        <v>0</v>
      </c>
      <c r="AA218" s="4"/>
      <c r="AB218" s="4">
        <v>0</v>
      </c>
      <c r="AC218" s="4"/>
      <c r="AD218" s="4">
        <v>0</v>
      </c>
      <c r="AE218" s="4"/>
      <c r="AF218" s="4">
        <f>SUM(F218:AD218)</f>
        <v>274485</v>
      </c>
    </row>
    <row r="219" spans="1:64" s="4" customFormat="1">
      <c r="A219" s="4">
        <v>128</v>
      </c>
      <c r="B219" s="3" t="s">
        <v>234</v>
      </c>
      <c r="C219" s="3"/>
      <c r="D219" s="3" t="s">
        <v>15</v>
      </c>
      <c r="E219" s="3"/>
      <c r="F219" s="4">
        <v>487861</v>
      </c>
      <c r="H219" s="4">
        <v>147945</v>
      </c>
      <c r="J219" s="4">
        <v>128275</v>
      </c>
      <c r="L219" s="4">
        <v>125505</v>
      </c>
      <c r="N219" s="4">
        <v>0</v>
      </c>
      <c r="P219" s="4">
        <v>18725</v>
      </c>
      <c r="R219" s="4">
        <v>15468</v>
      </c>
      <c r="T219" s="4">
        <v>17289</v>
      </c>
      <c r="V219" s="4">
        <v>0</v>
      </c>
      <c r="X219" s="4">
        <v>0</v>
      </c>
      <c r="Z219" s="4">
        <v>20000</v>
      </c>
      <c r="AB219" s="4">
        <v>0</v>
      </c>
      <c r="AD219" s="4">
        <v>8450</v>
      </c>
      <c r="AF219" s="4">
        <f>SUM(F219:AD219)</f>
        <v>969518</v>
      </c>
      <c r="AG219" s="51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</row>
    <row r="220" spans="1:64" s="4" customFormat="1">
      <c r="A220" s="4">
        <v>188</v>
      </c>
      <c r="B220" s="3" t="s">
        <v>235</v>
      </c>
      <c r="C220" s="3"/>
      <c r="D220" s="3" t="s">
        <v>236</v>
      </c>
      <c r="E220" s="3"/>
      <c r="F220" s="4">
        <v>2026236</v>
      </c>
      <c r="H220" s="4">
        <v>0</v>
      </c>
      <c r="J220" s="4">
        <v>0</v>
      </c>
      <c r="L220" s="4">
        <v>0</v>
      </c>
      <c r="N220" s="4">
        <v>0</v>
      </c>
      <c r="P220" s="4">
        <v>0</v>
      </c>
      <c r="R220" s="4">
        <v>0</v>
      </c>
      <c r="T220" s="4">
        <v>122348</v>
      </c>
      <c r="V220" s="4">
        <v>0</v>
      </c>
      <c r="X220" s="4">
        <v>0</v>
      </c>
      <c r="Z220" s="4">
        <v>0</v>
      </c>
      <c r="AB220" s="4">
        <v>0</v>
      </c>
      <c r="AD220" s="4">
        <v>0</v>
      </c>
      <c r="AF220" s="4">
        <f>SUM(F220:AD220)</f>
        <v>2148584</v>
      </c>
      <c r="AG220" s="51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</row>
    <row r="221" spans="1:64" s="4" customFormat="1">
      <c r="A221" s="4">
        <v>72</v>
      </c>
      <c r="B221" s="35" t="s">
        <v>312</v>
      </c>
      <c r="C221" s="35"/>
      <c r="D221" s="35" t="s">
        <v>484</v>
      </c>
      <c r="E221" s="35"/>
      <c r="F221" s="4">
        <v>469142</v>
      </c>
      <c r="G221" s="35"/>
      <c r="H221" s="4">
        <v>158480</v>
      </c>
      <c r="I221" s="35"/>
      <c r="J221" s="4">
        <v>211229</v>
      </c>
      <c r="K221" s="35"/>
      <c r="L221" s="4">
        <v>115611</v>
      </c>
      <c r="M221" s="35"/>
      <c r="N221" s="4">
        <v>0</v>
      </c>
      <c r="O221" s="35"/>
      <c r="P221" s="4">
        <v>16192</v>
      </c>
      <c r="Q221" s="35"/>
      <c r="R221" s="4">
        <v>15053</v>
      </c>
      <c r="S221" s="35"/>
      <c r="T221" s="4">
        <v>9614</v>
      </c>
      <c r="U221" s="35"/>
      <c r="V221" s="4">
        <v>0</v>
      </c>
      <c r="W221" s="35"/>
      <c r="X221" s="4">
        <v>0</v>
      </c>
      <c r="Y221" s="35"/>
      <c r="Z221" s="4">
        <v>0</v>
      </c>
      <c r="AA221" s="35"/>
      <c r="AB221" s="4">
        <v>0</v>
      </c>
      <c r="AC221" s="35"/>
      <c r="AD221" s="4">
        <v>0</v>
      </c>
      <c r="AE221" s="35"/>
      <c r="AF221" s="4">
        <f>SUM(F221:AD221)</f>
        <v>995321</v>
      </c>
      <c r="AG221" s="51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</row>
    <row r="222" spans="1:64" s="4" customFormat="1">
      <c r="A222" s="4">
        <v>163</v>
      </c>
      <c r="B222" s="4" t="s">
        <v>587</v>
      </c>
      <c r="C222" s="3"/>
      <c r="D222" s="3" t="s">
        <v>53</v>
      </c>
      <c r="E222" s="3"/>
      <c r="F222" s="4">
        <v>478461</v>
      </c>
      <c r="H222" s="4">
        <v>170900</v>
      </c>
      <c r="J222" s="4">
        <v>160401</v>
      </c>
      <c r="L222" s="4">
        <v>102625</v>
      </c>
      <c r="N222" s="4">
        <v>0</v>
      </c>
      <c r="P222" s="4">
        <v>19016</v>
      </c>
      <c r="R222" s="4">
        <v>69</v>
      </c>
      <c r="T222" s="4">
        <v>58718</v>
      </c>
      <c r="V222" s="4">
        <v>0</v>
      </c>
      <c r="X222" s="4">
        <v>0</v>
      </c>
      <c r="Z222" s="4">
        <v>0</v>
      </c>
      <c r="AB222" s="4">
        <v>0</v>
      </c>
      <c r="AD222" s="4">
        <v>0</v>
      </c>
      <c r="AF222" s="4">
        <f>SUM(F222:AD222)</f>
        <v>990190</v>
      </c>
      <c r="AG222" s="51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</row>
    <row r="223" spans="1:64" s="4" customFormat="1">
      <c r="A223" s="4">
        <v>151</v>
      </c>
      <c r="B223" s="3" t="s">
        <v>237</v>
      </c>
      <c r="C223" s="3"/>
      <c r="D223" s="3" t="s">
        <v>12</v>
      </c>
      <c r="E223" s="3"/>
      <c r="F223" s="4">
        <v>280444</v>
      </c>
      <c r="H223" s="4">
        <v>55934</v>
      </c>
      <c r="J223" s="4">
        <v>62458</v>
      </c>
      <c r="L223" s="4">
        <v>96726</v>
      </c>
      <c r="N223" s="4">
        <v>0</v>
      </c>
      <c r="P223" s="4">
        <v>9869</v>
      </c>
      <c r="R223" s="4">
        <v>29094</v>
      </c>
      <c r="T223" s="4">
        <v>23646</v>
      </c>
      <c r="V223" s="4">
        <v>0</v>
      </c>
      <c r="X223" s="4">
        <v>0</v>
      </c>
      <c r="Z223" s="4">
        <v>0</v>
      </c>
      <c r="AB223" s="4">
        <v>0</v>
      </c>
      <c r="AD223" s="4">
        <v>0</v>
      </c>
      <c r="AF223" s="4">
        <f>SUM(F223:AD223)</f>
        <v>558171</v>
      </c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</row>
    <row r="224" spans="1:64" s="4" customFormat="1">
      <c r="A224" s="4">
        <v>192</v>
      </c>
      <c r="B224" s="3" t="s">
        <v>608</v>
      </c>
      <c r="C224" s="3"/>
      <c r="D224" s="3" t="s">
        <v>173</v>
      </c>
      <c r="E224" s="3"/>
      <c r="F224" s="4">
        <v>1515883</v>
      </c>
      <c r="H224" s="4">
        <v>489545</v>
      </c>
      <c r="J224" s="4">
        <v>295947</v>
      </c>
      <c r="L224" s="4">
        <f>355932</f>
        <v>355932</v>
      </c>
      <c r="N224" s="4">
        <v>0</v>
      </c>
      <c r="P224" s="4">
        <v>49777</v>
      </c>
      <c r="R224" s="4">
        <v>14281</v>
      </c>
      <c r="T224" s="4">
        <v>41387</v>
      </c>
      <c r="V224" s="4">
        <v>0</v>
      </c>
      <c r="X224" s="4">
        <v>0</v>
      </c>
      <c r="Z224" s="4">
        <v>16000</v>
      </c>
      <c r="AB224" s="4">
        <v>0</v>
      </c>
      <c r="AD224" s="4">
        <v>0</v>
      </c>
      <c r="AF224" s="4">
        <f>SUM(F224:AD224)</f>
        <v>2778752</v>
      </c>
      <c r="AG224" s="51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</row>
    <row r="225" spans="1:64" s="4" customFormat="1">
      <c r="A225" s="4">
        <v>55</v>
      </c>
      <c r="B225" s="4" t="s">
        <v>445</v>
      </c>
      <c r="D225" s="4" t="s">
        <v>19</v>
      </c>
      <c r="F225" s="4">
        <v>2621522</v>
      </c>
      <c r="H225" s="4">
        <v>583077</v>
      </c>
      <c r="J225" s="4">
        <v>606744</v>
      </c>
      <c r="L225" s="4">
        <f>764874</f>
        <v>764874</v>
      </c>
      <c r="N225" s="4">
        <v>0</v>
      </c>
      <c r="P225" s="4">
        <v>128002</v>
      </c>
      <c r="R225" s="4">
        <v>19746</v>
      </c>
      <c r="T225" s="4">
        <v>147741</v>
      </c>
      <c r="V225" s="4">
        <v>0</v>
      </c>
      <c r="X225" s="4">
        <v>0</v>
      </c>
      <c r="Z225" s="4">
        <v>100000</v>
      </c>
      <c r="AB225" s="4">
        <v>0</v>
      </c>
      <c r="AD225" s="4">
        <v>0</v>
      </c>
      <c r="AF225" s="4">
        <f>SUM(F225:AD225)</f>
        <v>4971706</v>
      </c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</row>
    <row r="226" spans="1:64">
      <c r="A226" s="4">
        <v>202</v>
      </c>
      <c r="B226" s="3" t="s">
        <v>23</v>
      </c>
      <c r="D226" s="3" t="s">
        <v>24</v>
      </c>
      <c r="F226" s="4">
        <v>1573150</v>
      </c>
      <c r="G226" s="4"/>
      <c r="H226" s="4">
        <v>630312</v>
      </c>
      <c r="I226" s="4"/>
      <c r="J226" s="4">
        <v>484253</v>
      </c>
      <c r="K226" s="4"/>
      <c r="L226" s="4">
        <f>355136</f>
        <v>355136</v>
      </c>
      <c r="M226" s="4"/>
      <c r="N226" s="4">
        <v>0</v>
      </c>
      <c r="O226" s="4"/>
      <c r="P226" s="4">
        <v>84410</v>
      </c>
      <c r="Q226" s="4"/>
      <c r="R226" s="4">
        <v>10143</v>
      </c>
      <c r="S226" s="4"/>
      <c r="T226" s="4">
        <v>308339</v>
      </c>
      <c r="U226" s="4"/>
      <c r="V226" s="4">
        <v>0</v>
      </c>
      <c r="W226" s="4"/>
      <c r="X226" s="4">
        <v>0</v>
      </c>
      <c r="Y226" s="4"/>
      <c r="Z226" s="4">
        <v>100000</v>
      </c>
      <c r="AA226" s="4"/>
      <c r="AB226" s="4">
        <v>0</v>
      </c>
      <c r="AC226" s="4"/>
      <c r="AD226" s="4">
        <v>0</v>
      </c>
      <c r="AE226" s="4"/>
      <c r="AF226" s="4">
        <f>SUM(F226:AD226)</f>
        <v>3545743</v>
      </c>
    </row>
    <row r="227" spans="1:64">
      <c r="A227" s="4">
        <v>196</v>
      </c>
      <c r="B227" s="3" t="s">
        <v>609</v>
      </c>
      <c r="D227" s="3" t="s">
        <v>102</v>
      </c>
      <c r="F227" s="4">
        <v>739038</v>
      </c>
      <c r="G227" s="4"/>
      <c r="H227" s="4">
        <v>159537</v>
      </c>
      <c r="I227" s="4"/>
      <c r="J227" s="4">
        <v>180429</v>
      </c>
      <c r="K227" s="4"/>
      <c r="L227" s="4">
        <f>271276</f>
        <v>271276</v>
      </c>
      <c r="M227" s="4"/>
      <c r="N227" s="4">
        <v>0</v>
      </c>
      <c r="O227" s="4"/>
      <c r="P227" s="4">
        <v>47617</v>
      </c>
      <c r="Q227" s="4"/>
      <c r="R227" s="4">
        <v>7013</v>
      </c>
      <c r="S227" s="4"/>
      <c r="T227" s="4">
        <v>39961</v>
      </c>
      <c r="U227" s="4"/>
      <c r="V227" s="4">
        <v>0</v>
      </c>
      <c r="W227" s="4"/>
      <c r="X227" s="4">
        <v>0</v>
      </c>
      <c r="Y227" s="4"/>
      <c r="Z227" s="4">
        <v>0</v>
      </c>
      <c r="AA227" s="4"/>
      <c r="AB227" s="4">
        <v>0</v>
      </c>
      <c r="AC227" s="4"/>
      <c r="AD227" s="4">
        <v>0</v>
      </c>
      <c r="AE227" s="4"/>
      <c r="AF227" s="4">
        <f>SUM(F227:AD227)</f>
        <v>1444871</v>
      </c>
    </row>
    <row r="228" spans="1:64" s="4" customFormat="1">
      <c r="A228" s="4">
        <v>102</v>
      </c>
      <c r="B228" s="35" t="s">
        <v>238</v>
      </c>
      <c r="C228" s="35"/>
      <c r="D228" s="35" t="s">
        <v>485</v>
      </c>
      <c r="E228" s="35"/>
      <c r="F228" s="4">
        <v>282277</v>
      </c>
      <c r="G228" s="35"/>
      <c r="H228" s="4">
        <v>97778</v>
      </c>
      <c r="I228" s="35"/>
      <c r="J228" s="4">
        <v>94564</v>
      </c>
      <c r="K228" s="35"/>
      <c r="L228" s="4">
        <v>50327</v>
      </c>
      <c r="M228" s="35"/>
      <c r="N228" s="4">
        <v>0</v>
      </c>
      <c r="O228" s="35"/>
      <c r="P228" s="4">
        <v>14574</v>
      </c>
      <c r="Q228" s="35"/>
      <c r="R228" s="4">
        <v>12422</v>
      </c>
      <c r="S228" s="35"/>
      <c r="T228" s="4">
        <v>1280</v>
      </c>
      <c r="U228" s="35"/>
      <c r="V228" s="4">
        <v>0</v>
      </c>
      <c r="W228" s="35"/>
      <c r="X228" s="4">
        <v>0</v>
      </c>
      <c r="Y228" s="35"/>
      <c r="Z228" s="4">
        <v>0</v>
      </c>
      <c r="AA228" s="35"/>
      <c r="AB228" s="4">
        <v>0</v>
      </c>
      <c r="AC228" s="35"/>
      <c r="AD228" s="4">
        <v>0</v>
      </c>
      <c r="AE228" s="35"/>
      <c r="AF228" s="4">
        <f>SUM(F228:AD228)</f>
        <v>553222</v>
      </c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</row>
    <row r="229" spans="1:64" s="4" customFormat="1">
      <c r="A229" s="39">
        <v>197.1</v>
      </c>
      <c r="B229" s="3" t="s">
        <v>585</v>
      </c>
      <c r="C229" s="3"/>
      <c r="D229" s="3" t="s">
        <v>586</v>
      </c>
      <c r="E229" s="3"/>
      <c r="F229" s="4">
        <v>769149</v>
      </c>
      <c r="H229" s="4">
        <v>213599</v>
      </c>
      <c r="J229" s="4">
        <v>149012</v>
      </c>
      <c r="L229" s="4">
        <v>129439</v>
      </c>
      <c r="N229" s="4">
        <v>0</v>
      </c>
      <c r="P229" s="4">
        <v>34876</v>
      </c>
      <c r="R229" s="4">
        <v>139580</v>
      </c>
      <c r="T229" s="4">
        <v>17425</v>
      </c>
      <c r="V229" s="4">
        <v>0</v>
      </c>
      <c r="X229" s="4">
        <v>0</v>
      </c>
      <c r="Z229" s="4">
        <v>500000</v>
      </c>
      <c r="AB229" s="4">
        <v>0</v>
      </c>
      <c r="AD229" s="4">
        <v>2014</v>
      </c>
      <c r="AF229" s="4">
        <f>SUM(F229:AD229)</f>
        <v>1955094</v>
      </c>
      <c r="AG229" s="51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</row>
    <row r="230" spans="1:64" s="4" customFormat="1">
      <c r="A230" s="4">
        <v>193</v>
      </c>
      <c r="B230" s="3" t="s">
        <v>239</v>
      </c>
      <c r="C230" s="3"/>
      <c r="D230" s="3" t="s">
        <v>173</v>
      </c>
      <c r="E230" s="3"/>
      <c r="F230" s="4">
        <v>699681</v>
      </c>
      <c r="H230" s="4">
        <v>193063</v>
      </c>
      <c r="J230" s="4">
        <v>527555</v>
      </c>
      <c r="L230" s="4">
        <v>222109</v>
      </c>
      <c r="N230" s="4">
        <v>0</v>
      </c>
      <c r="P230" s="4">
        <v>25458</v>
      </c>
      <c r="R230" s="4">
        <v>1140</v>
      </c>
      <c r="T230" s="4">
        <v>37643</v>
      </c>
      <c r="V230" s="4">
        <v>0</v>
      </c>
      <c r="X230" s="4">
        <v>0</v>
      </c>
      <c r="Z230" s="4">
        <v>0</v>
      </c>
      <c r="AB230" s="4">
        <v>0</v>
      </c>
      <c r="AD230" s="4">
        <v>49</v>
      </c>
      <c r="AF230" s="4">
        <f>SUM(F230:AD230)</f>
        <v>1706698</v>
      </c>
      <c r="AG230" s="51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</row>
    <row r="231" spans="1:64" s="4" customFormat="1">
      <c r="A231" s="4">
        <v>153</v>
      </c>
      <c r="B231" s="3" t="s">
        <v>240</v>
      </c>
      <c r="C231" s="3"/>
      <c r="D231" s="3" t="s">
        <v>215</v>
      </c>
      <c r="E231" s="3"/>
      <c r="F231" s="4">
        <v>6366373</v>
      </c>
      <c r="H231" s="4">
        <v>2075736</v>
      </c>
      <c r="J231" s="4">
        <v>2061740</v>
      </c>
      <c r="L231" s="4">
        <f>1745214</f>
        <v>1745214</v>
      </c>
      <c r="N231" s="4">
        <v>0</v>
      </c>
      <c r="P231" s="4">
        <v>221518</v>
      </c>
      <c r="R231" s="4">
        <v>49769</v>
      </c>
      <c r="T231" s="4">
        <v>111147</v>
      </c>
      <c r="V231" s="4">
        <v>0</v>
      </c>
      <c r="X231" s="4">
        <v>0</v>
      </c>
      <c r="Z231" s="4">
        <v>1644000</v>
      </c>
      <c r="AB231" s="4">
        <v>0</v>
      </c>
      <c r="AD231" s="4">
        <v>0</v>
      </c>
      <c r="AF231" s="4">
        <f>SUM(F231:AD231)</f>
        <v>14275497</v>
      </c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</row>
    <row r="232" spans="1:64" s="4" customFormat="1">
      <c r="A232" s="4">
        <v>238</v>
      </c>
      <c r="B232" s="3" t="s">
        <v>241</v>
      </c>
      <c r="C232" s="3"/>
      <c r="D232" s="3" t="s">
        <v>193</v>
      </c>
      <c r="E232" s="3"/>
      <c r="F232" s="4">
        <v>126296</v>
      </c>
      <c r="H232" s="4">
        <v>46800</v>
      </c>
      <c r="J232" s="4">
        <v>71203</v>
      </c>
      <c r="L232" s="4">
        <f>47452</f>
        <v>47452</v>
      </c>
      <c r="N232" s="4">
        <v>0</v>
      </c>
      <c r="P232" s="4">
        <v>4726</v>
      </c>
      <c r="R232" s="4">
        <v>1070</v>
      </c>
      <c r="T232" s="4">
        <v>2330</v>
      </c>
      <c r="V232" s="4">
        <v>20753</v>
      </c>
      <c r="X232" s="4">
        <v>21299</v>
      </c>
      <c r="Z232" s="4">
        <v>0</v>
      </c>
      <c r="AB232" s="4">
        <v>0</v>
      </c>
      <c r="AD232" s="4">
        <v>0</v>
      </c>
      <c r="AF232" s="4">
        <f>SUM(F232:AD232)</f>
        <v>341929</v>
      </c>
      <c r="AG232" s="51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spans="1:64" s="4" customFormat="1">
      <c r="A233" s="4">
        <v>100</v>
      </c>
      <c r="B233" s="3" t="s">
        <v>314</v>
      </c>
      <c r="C233" s="3"/>
      <c r="D233" s="3" t="s">
        <v>61</v>
      </c>
      <c r="E233" s="3"/>
      <c r="F233" s="4">
        <v>65707</v>
      </c>
      <c r="H233" s="4">
        <v>10338</v>
      </c>
      <c r="J233" s="4">
        <v>35791</v>
      </c>
      <c r="L233" s="4">
        <v>15755</v>
      </c>
      <c r="N233" s="4">
        <v>0</v>
      </c>
      <c r="P233" s="4">
        <v>4594</v>
      </c>
      <c r="R233" s="4">
        <v>1020</v>
      </c>
      <c r="T233" s="4">
        <v>3654</v>
      </c>
      <c r="V233" s="4">
        <v>0</v>
      </c>
      <c r="X233" s="4">
        <v>0</v>
      </c>
      <c r="Z233" s="4">
        <v>0</v>
      </c>
      <c r="AB233" s="4">
        <v>0</v>
      </c>
      <c r="AD233" s="4">
        <v>0</v>
      </c>
      <c r="AF233" s="4">
        <f>SUM(F233:AD233)</f>
        <v>136859</v>
      </c>
      <c r="AG233" s="51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</row>
    <row r="234" spans="1:64" s="4" customFormat="1">
      <c r="A234" s="4">
        <v>68</v>
      </c>
      <c r="B234" s="3" t="s">
        <v>242</v>
      </c>
      <c r="C234" s="3"/>
      <c r="D234" s="3" t="s">
        <v>167</v>
      </c>
      <c r="E234" s="3"/>
      <c r="F234" s="4">
        <v>555200</v>
      </c>
      <c r="H234" s="4">
        <v>127256</v>
      </c>
      <c r="J234" s="4">
        <v>215872</v>
      </c>
      <c r="L234" s="4">
        <v>188835</v>
      </c>
      <c r="N234" s="4">
        <v>0</v>
      </c>
      <c r="P234" s="4">
        <v>21944</v>
      </c>
      <c r="R234" s="4">
        <v>10474</v>
      </c>
      <c r="T234" s="4">
        <v>71605</v>
      </c>
      <c r="V234" s="4">
        <v>0</v>
      </c>
      <c r="X234" s="4">
        <v>0</v>
      </c>
      <c r="Z234" s="4">
        <v>102000</v>
      </c>
      <c r="AB234" s="4">
        <v>0</v>
      </c>
      <c r="AD234" s="4">
        <v>0</v>
      </c>
      <c r="AF234" s="4">
        <f>SUM(F234:AD234)</f>
        <v>1293186</v>
      </c>
      <c r="AG234" s="51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</row>
    <row r="235" spans="1:64" s="4" customFormat="1">
      <c r="A235" s="4">
        <v>15</v>
      </c>
      <c r="B235" s="35" t="s">
        <v>243</v>
      </c>
      <c r="C235" s="35"/>
      <c r="D235" s="35" t="s">
        <v>471</v>
      </c>
      <c r="E235" s="35"/>
      <c r="F235" s="4">
        <v>86852</v>
      </c>
      <c r="G235" s="35"/>
      <c r="H235" s="4">
        <v>13475</v>
      </c>
      <c r="I235" s="35"/>
      <c r="J235" s="4">
        <v>43969</v>
      </c>
      <c r="K235" s="35"/>
      <c r="L235" s="4">
        <v>44674</v>
      </c>
      <c r="M235" s="35"/>
      <c r="N235" s="4">
        <v>0</v>
      </c>
      <c r="O235" s="35"/>
      <c r="P235" s="4">
        <v>6455</v>
      </c>
      <c r="Q235" s="35"/>
      <c r="R235" s="4">
        <v>6532</v>
      </c>
      <c r="S235" s="35"/>
      <c r="T235" s="4">
        <v>0</v>
      </c>
      <c r="U235" s="35"/>
      <c r="V235" s="4">
        <v>0</v>
      </c>
      <c r="W235" s="35"/>
      <c r="X235" s="4">
        <v>0</v>
      </c>
      <c r="Y235" s="35"/>
      <c r="Z235" s="4">
        <v>0</v>
      </c>
      <c r="AA235" s="35"/>
      <c r="AB235" s="4">
        <v>0</v>
      </c>
      <c r="AC235" s="35"/>
      <c r="AD235" s="4">
        <v>3000</v>
      </c>
      <c r="AE235" s="35"/>
      <c r="AF235" s="4">
        <f>SUM(F235:AD235)</f>
        <v>204957</v>
      </c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</row>
    <row r="236" spans="1:64" s="4" customFormat="1">
      <c r="A236" s="4">
        <v>161</v>
      </c>
      <c r="B236" s="35" t="s">
        <v>570</v>
      </c>
      <c r="C236" s="35"/>
      <c r="D236" s="35" t="s">
        <v>493</v>
      </c>
      <c r="E236" s="35"/>
      <c r="F236" s="4">
        <v>93738</v>
      </c>
      <c r="G236" s="35"/>
      <c r="H236" s="4">
        <v>39592</v>
      </c>
      <c r="I236" s="35"/>
      <c r="J236" s="4">
        <v>23365</v>
      </c>
      <c r="K236" s="35"/>
      <c r="L236" s="4">
        <v>30282</v>
      </c>
      <c r="M236" s="35"/>
      <c r="N236" s="4">
        <v>0</v>
      </c>
      <c r="O236" s="35"/>
      <c r="P236" s="4">
        <v>19082</v>
      </c>
      <c r="Q236" s="35"/>
      <c r="R236" s="4">
        <v>1956</v>
      </c>
      <c r="S236" s="35"/>
      <c r="T236" s="4">
        <v>2395</v>
      </c>
      <c r="U236" s="35"/>
      <c r="V236" s="4">
        <v>0</v>
      </c>
      <c r="W236" s="35"/>
      <c r="X236" s="4">
        <v>0</v>
      </c>
      <c r="Y236" s="35"/>
      <c r="Z236" s="4">
        <v>0</v>
      </c>
      <c r="AA236" s="35"/>
      <c r="AB236" s="4">
        <v>7284</v>
      </c>
      <c r="AC236" s="35"/>
      <c r="AD236" s="4">
        <v>0</v>
      </c>
      <c r="AE236" s="35"/>
      <c r="AF236" s="4">
        <f>SUM(F236:AD236)</f>
        <v>217694</v>
      </c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</row>
    <row r="237" spans="1:64">
      <c r="A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51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4"/>
    </row>
    <row r="238" spans="1:64">
      <c r="A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7" t="s">
        <v>593</v>
      </c>
      <c r="AG238" s="51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4"/>
    </row>
    <row r="239" spans="1:64">
      <c r="B239" s="3" t="s">
        <v>524</v>
      </c>
    </row>
    <row r="240" spans="1:64">
      <c r="B240" s="3" t="s">
        <v>527</v>
      </c>
    </row>
    <row r="241" spans="1:64">
      <c r="B241" s="41" t="s">
        <v>7</v>
      </c>
    </row>
    <row r="242" spans="1:64" s="36" customFormat="1">
      <c r="L242" s="36" t="s">
        <v>8</v>
      </c>
    </row>
    <row r="243" spans="1:64" s="36" customFormat="1">
      <c r="H243" s="36" t="s">
        <v>321</v>
      </c>
      <c r="J243" s="36" t="s">
        <v>323</v>
      </c>
      <c r="L243" s="36" t="s">
        <v>557</v>
      </c>
      <c r="N243" s="36" t="s">
        <v>556</v>
      </c>
      <c r="X243" s="36" t="s">
        <v>330</v>
      </c>
      <c r="AD243" s="36" t="s">
        <v>0</v>
      </c>
    </row>
    <row r="244" spans="1:64" s="36" customFormat="1">
      <c r="H244" s="36" t="s">
        <v>322</v>
      </c>
      <c r="J244" s="36" t="s">
        <v>324</v>
      </c>
      <c r="L244" s="36" t="s">
        <v>325</v>
      </c>
      <c r="N244" s="36" t="s">
        <v>554</v>
      </c>
      <c r="T244" s="36" t="s">
        <v>30</v>
      </c>
      <c r="V244" s="36" t="s">
        <v>328</v>
      </c>
      <c r="X244" s="36" t="s">
        <v>331</v>
      </c>
      <c r="AD244" s="36" t="s">
        <v>296</v>
      </c>
    </row>
    <row r="245" spans="1:64" s="36" customFormat="1" ht="12" customHeight="1">
      <c r="A245" s="36" t="s">
        <v>580</v>
      </c>
      <c r="B245" s="37" t="s">
        <v>8</v>
      </c>
      <c r="D245" s="37" t="s">
        <v>6</v>
      </c>
      <c r="F245" s="37" t="s">
        <v>2</v>
      </c>
      <c r="H245" s="37" t="s">
        <v>3</v>
      </c>
      <c r="J245" s="37" t="s">
        <v>29</v>
      </c>
      <c r="L245" s="37" t="s">
        <v>326</v>
      </c>
      <c r="N245" s="37" t="s">
        <v>555</v>
      </c>
      <c r="P245" s="37" t="s">
        <v>4</v>
      </c>
      <c r="R245" s="37" t="s">
        <v>0</v>
      </c>
      <c r="T245" s="37" t="s">
        <v>327</v>
      </c>
      <c r="V245" s="37" t="s">
        <v>329</v>
      </c>
      <c r="X245" s="37" t="s">
        <v>332</v>
      </c>
      <c r="Z245" s="37" t="s">
        <v>506</v>
      </c>
      <c r="AB245" s="37" t="s">
        <v>507</v>
      </c>
      <c r="AD245" s="37" t="s">
        <v>333</v>
      </c>
      <c r="AF245" s="49" t="s">
        <v>28</v>
      </c>
    </row>
    <row r="246" spans="1:64" s="7" customFormat="1">
      <c r="A246" s="7">
        <v>56</v>
      </c>
      <c r="B246" s="7" t="s">
        <v>244</v>
      </c>
      <c r="D246" s="7" t="s">
        <v>19</v>
      </c>
      <c r="F246" s="7">
        <v>2336018</v>
      </c>
      <c r="H246" s="7">
        <v>492779</v>
      </c>
      <c r="J246" s="7">
        <v>452734</v>
      </c>
      <c r="L246" s="7">
        <f>576257</f>
        <v>576257</v>
      </c>
      <c r="N246" s="7">
        <v>0</v>
      </c>
      <c r="P246" s="7">
        <v>90925</v>
      </c>
      <c r="R246" s="7">
        <v>23748</v>
      </c>
      <c r="T246" s="7">
        <v>0</v>
      </c>
      <c r="V246" s="7">
        <v>0</v>
      </c>
      <c r="X246" s="7">
        <v>0</v>
      </c>
      <c r="Z246" s="7">
        <v>500000</v>
      </c>
      <c r="AB246" s="7">
        <v>0</v>
      </c>
      <c r="AD246" s="7">
        <v>0</v>
      </c>
      <c r="AF246" s="7">
        <f>SUM(F246:AD246)</f>
        <v>4472461</v>
      </c>
      <c r="AG246" s="50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</row>
    <row r="247" spans="1:64" s="4" customFormat="1">
      <c r="A247" s="4">
        <v>214</v>
      </c>
      <c r="B247" s="3" t="s">
        <v>245</v>
      </c>
      <c r="C247" s="3"/>
      <c r="D247" s="3" t="s">
        <v>25</v>
      </c>
      <c r="E247" s="3"/>
      <c r="F247" s="4">
        <f>912356+127539+109900+23821</f>
        <v>1173616</v>
      </c>
      <c r="H247" s="4">
        <v>0</v>
      </c>
      <c r="J247" s="4">
        <f>2155+356+7089+9670+50282+89466+58390+37148</f>
        <v>254556</v>
      </c>
      <c r="L247" s="4">
        <f>154292+21995+30336+79263+3644+25411</f>
        <v>314941</v>
      </c>
      <c r="N247" s="4">
        <v>0</v>
      </c>
      <c r="P247" s="4">
        <f>33901+4553+4169+472</f>
        <v>43095</v>
      </c>
      <c r="R247" s="4">
        <f>5676+397+15604</f>
        <v>21677</v>
      </c>
      <c r="T247" s="4">
        <f>8242+6797</f>
        <v>15039</v>
      </c>
      <c r="V247" s="4">
        <v>0</v>
      </c>
      <c r="X247" s="4">
        <v>0</v>
      </c>
      <c r="Z247" s="4">
        <v>0</v>
      </c>
      <c r="AB247" s="4">
        <v>0</v>
      </c>
      <c r="AD247" s="4">
        <v>0</v>
      </c>
      <c r="AF247" s="4">
        <f>SUM(F247:AD247)</f>
        <v>1822924</v>
      </c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</row>
    <row r="248" spans="1:64" s="4" customFormat="1">
      <c r="A248" s="4">
        <v>253</v>
      </c>
      <c r="B248" s="3" t="s">
        <v>246</v>
      </c>
      <c r="C248" s="3"/>
      <c r="D248" s="3" t="s">
        <v>65</v>
      </c>
      <c r="E248" s="3"/>
      <c r="F248" s="4">
        <v>395892</v>
      </c>
      <c r="H248" s="4">
        <v>137194</v>
      </c>
      <c r="J248" s="4">
        <v>129782</v>
      </c>
      <c r="L248" s="4">
        <f>137523</f>
        <v>137523</v>
      </c>
      <c r="N248" s="4">
        <v>0</v>
      </c>
      <c r="P248" s="4">
        <v>16857</v>
      </c>
      <c r="R248" s="4">
        <v>7879</v>
      </c>
      <c r="T248" s="4">
        <v>147494</v>
      </c>
      <c r="V248" s="4">
        <v>0</v>
      </c>
      <c r="X248" s="4">
        <v>0</v>
      </c>
      <c r="Z248" s="4">
        <v>0</v>
      </c>
      <c r="AB248" s="4">
        <v>0</v>
      </c>
      <c r="AD248" s="4">
        <v>0</v>
      </c>
      <c r="AF248" s="4">
        <f>SUM(F248:AD248)</f>
        <v>972621</v>
      </c>
      <c r="AG248" s="51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</row>
    <row r="249" spans="1:64" s="4" customFormat="1">
      <c r="A249" s="4">
        <v>36</v>
      </c>
      <c r="B249" s="35" t="s">
        <v>247</v>
      </c>
      <c r="C249" s="35"/>
      <c r="D249" s="35" t="s">
        <v>480</v>
      </c>
      <c r="E249" s="35"/>
      <c r="F249" s="4">
        <v>128001</v>
      </c>
      <c r="G249" s="35"/>
      <c r="H249" s="4">
        <v>45998</v>
      </c>
      <c r="I249" s="35"/>
      <c r="J249" s="4">
        <v>24594</v>
      </c>
      <c r="K249" s="35"/>
      <c r="L249" s="4">
        <v>65320</v>
      </c>
      <c r="M249" s="35"/>
      <c r="N249" s="4">
        <v>0</v>
      </c>
      <c r="O249" s="35"/>
      <c r="P249" s="4">
        <v>11673</v>
      </c>
      <c r="Q249" s="35"/>
      <c r="R249" s="4">
        <v>2796</v>
      </c>
      <c r="S249" s="35"/>
      <c r="T249" s="4">
        <v>5155</v>
      </c>
      <c r="U249" s="35"/>
      <c r="V249" s="4">
        <v>0</v>
      </c>
      <c r="W249" s="35"/>
      <c r="X249" s="4">
        <v>0</v>
      </c>
      <c r="Y249" s="35"/>
      <c r="Z249" s="4">
        <v>0</v>
      </c>
      <c r="AA249" s="35"/>
      <c r="AB249" s="4">
        <v>0</v>
      </c>
      <c r="AC249" s="35"/>
      <c r="AD249" s="4">
        <v>259</v>
      </c>
      <c r="AE249" s="35"/>
      <c r="AF249" s="4">
        <f>SUM(F249:AD249)</f>
        <v>283796</v>
      </c>
      <c r="AG249" s="51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</row>
    <row r="250" spans="1:64" s="4" customFormat="1">
      <c r="A250" s="4">
        <v>30</v>
      </c>
      <c r="B250" s="35" t="s">
        <v>347</v>
      </c>
      <c r="C250" s="35"/>
      <c r="D250" s="35" t="s">
        <v>478</v>
      </c>
      <c r="E250" s="35"/>
      <c r="F250" s="4">
        <v>151930</v>
      </c>
      <c r="G250" s="35"/>
      <c r="H250" s="4">
        <v>72224</v>
      </c>
      <c r="I250" s="35"/>
      <c r="J250" s="4">
        <v>68385</v>
      </c>
      <c r="K250" s="35"/>
      <c r="L250" s="4">
        <v>34745</v>
      </c>
      <c r="M250" s="35"/>
      <c r="N250" s="4">
        <v>0</v>
      </c>
      <c r="O250" s="35"/>
      <c r="P250" s="4">
        <v>11119</v>
      </c>
      <c r="Q250" s="35"/>
      <c r="R250" s="4">
        <v>1944</v>
      </c>
      <c r="S250" s="35"/>
      <c r="T250" s="4">
        <v>500</v>
      </c>
      <c r="U250" s="35"/>
      <c r="V250" s="4">
        <v>0</v>
      </c>
      <c r="W250" s="35"/>
      <c r="X250" s="4">
        <v>0</v>
      </c>
      <c r="Y250" s="35"/>
      <c r="Z250" s="4">
        <v>0</v>
      </c>
      <c r="AA250" s="35"/>
      <c r="AB250" s="4">
        <v>0</v>
      </c>
      <c r="AC250" s="35"/>
      <c r="AD250" s="4">
        <v>0</v>
      </c>
      <c r="AE250" s="35"/>
      <c r="AF250" s="4">
        <f>SUM(F250:AD250)</f>
        <v>340847</v>
      </c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</row>
    <row r="251" spans="1:64" s="4" customFormat="1">
      <c r="A251" s="4">
        <v>43</v>
      </c>
      <c r="B251" s="3" t="s">
        <v>248</v>
      </c>
      <c r="C251" s="3"/>
      <c r="D251" s="3" t="s">
        <v>51</v>
      </c>
      <c r="E251" s="3"/>
      <c r="F251" s="4">
        <v>480884</v>
      </c>
      <c r="H251" s="4">
        <v>101499</v>
      </c>
      <c r="J251" s="4">
        <v>152808</v>
      </c>
      <c r="L251" s="4">
        <f>151623</f>
        <v>151623</v>
      </c>
      <c r="N251" s="4">
        <v>0</v>
      </c>
      <c r="P251" s="4">
        <v>18390</v>
      </c>
      <c r="R251" s="4">
        <v>8781</v>
      </c>
      <c r="T251" s="4">
        <v>10260</v>
      </c>
      <c r="V251" s="4">
        <v>0</v>
      </c>
      <c r="X251" s="4">
        <v>0</v>
      </c>
      <c r="Z251" s="4">
        <v>0</v>
      </c>
      <c r="AB251" s="4">
        <v>0</v>
      </c>
      <c r="AD251" s="4">
        <v>0</v>
      </c>
      <c r="AF251" s="4">
        <f>SUM(F251:AD251)</f>
        <v>924245</v>
      </c>
      <c r="AG251" s="51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</row>
    <row r="252" spans="1:64" s="4" customFormat="1">
      <c r="A252" s="4">
        <v>244</v>
      </c>
      <c r="B252" s="3" t="s">
        <v>249</v>
      </c>
      <c r="C252" s="3"/>
      <c r="D252" s="3" t="s">
        <v>54</v>
      </c>
      <c r="E252" s="3"/>
      <c r="F252" s="4">
        <v>439316</v>
      </c>
      <c r="H252" s="4">
        <v>56082</v>
      </c>
      <c r="J252" s="4">
        <v>113667</v>
      </c>
      <c r="L252" s="4">
        <f>25975</f>
        <v>25975</v>
      </c>
      <c r="N252" s="4">
        <v>0</v>
      </c>
      <c r="P252" s="4">
        <v>5443</v>
      </c>
      <c r="R252" s="4">
        <v>8112</v>
      </c>
      <c r="T252" s="4">
        <v>822</v>
      </c>
      <c r="V252" s="4">
        <v>0</v>
      </c>
      <c r="X252" s="4">
        <v>0</v>
      </c>
      <c r="Z252" s="4">
        <v>0</v>
      </c>
      <c r="AB252" s="4">
        <v>0</v>
      </c>
      <c r="AD252" s="4">
        <v>0</v>
      </c>
      <c r="AF252" s="4">
        <f>SUM(F252:AD252)</f>
        <v>649417</v>
      </c>
      <c r="AG252" s="51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</row>
    <row r="253" spans="1:64" s="4" customFormat="1">
      <c r="A253" s="4">
        <v>69</v>
      </c>
      <c r="B253" s="3" t="s">
        <v>315</v>
      </c>
      <c r="C253" s="3"/>
      <c r="D253" s="3" t="s">
        <v>167</v>
      </c>
      <c r="E253" s="3"/>
      <c r="F253" s="4">
        <v>1390763</v>
      </c>
      <c r="H253" s="4">
        <v>482805</v>
      </c>
      <c r="J253" s="4">
        <v>565847</v>
      </c>
      <c r="L253" s="4">
        <f>255195</f>
        <v>255195</v>
      </c>
      <c r="N253" s="4">
        <v>0</v>
      </c>
      <c r="P253" s="4">
        <v>56427</v>
      </c>
      <c r="R253" s="4">
        <v>21542</v>
      </c>
      <c r="T253" s="4">
        <v>111213</v>
      </c>
      <c r="V253" s="4">
        <v>0</v>
      </c>
      <c r="X253" s="4">
        <v>0</v>
      </c>
      <c r="Z253" s="4">
        <v>0</v>
      </c>
      <c r="AB253" s="4">
        <v>0</v>
      </c>
      <c r="AD253" s="4">
        <v>0</v>
      </c>
      <c r="AF253" s="4">
        <f>SUM(F253:AD253)</f>
        <v>2883792</v>
      </c>
      <c r="AG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</row>
    <row r="254" spans="1:64">
      <c r="A254" s="4">
        <v>177</v>
      </c>
      <c r="B254" s="3" t="s">
        <v>250</v>
      </c>
      <c r="D254" s="3" t="s">
        <v>68</v>
      </c>
      <c r="F254" s="4">
        <v>180451</v>
      </c>
      <c r="G254" s="4"/>
      <c r="H254" s="4">
        <v>29289</v>
      </c>
      <c r="I254" s="4"/>
      <c r="J254" s="4">
        <v>44170</v>
      </c>
      <c r="K254" s="4"/>
      <c r="L254" s="4">
        <v>41929</v>
      </c>
      <c r="M254" s="4"/>
      <c r="N254" s="4">
        <v>0</v>
      </c>
      <c r="O254" s="4"/>
      <c r="P254" s="4">
        <v>11271</v>
      </c>
      <c r="Q254" s="4"/>
      <c r="R254" s="4">
        <v>2190</v>
      </c>
      <c r="S254" s="4"/>
      <c r="T254" s="4">
        <v>169</v>
      </c>
      <c r="U254" s="4"/>
      <c r="V254" s="4">
        <v>0</v>
      </c>
      <c r="W254" s="4"/>
      <c r="X254" s="4">
        <v>0</v>
      </c>
      <c r="Y254" s="4"/>
      <c r="Z254" s="4">
        <v>0</v>
      </c>
      <c r="AA254" s="4"/>
      <c r="AB254" s="4">
        <v>0</v>
      </c>
      <c r="AC254" s="4"/>
      <c r="AD254" s="4">
        <v>0</v>
      </c>
      <c r="AE254" s="4"/>
      <c r="AF254" s="4">
        <f>SUM(F254:AD254)</f>
        <v>309469</v>
      </c>
    </row>
    <row r="255" spans="1:64" s="4" customFormat="1">
      <c r="A255" s="4">
        <v>206</v>
      </c>
      <c r="B255" s="3" t="s">
        <v>251</v>
      </c>
      <c r="C255" s="3"/>
      <c r="D255" s="3" t="s">
        <v>45</v>
      </c>
      <c r="E255" s="3"/>
      <c r="F255" s="4">
        <v>84195</v>
      </c>
      <c r="H255" s="4">
        <v>12561</v>
      </c>
      <c r="J255" s="4">
        <v>40933</v>
      </c>
      <c r="L255" s="4">
        <v>17801</v>
      </c>
      <c r="N255" s="4">
        <v>0</v>
      </c>
      <c r="P255" s="4">
        <v>6410</v>
      </c>
      <c r="R255" s="4">
        <v>11037</v>
      </c>
      <c r="T255" s="4">
        <v>5914</v>
      </c>
      <c r="V255" s="4">
        <v>0</v>
      </c>
      <c r="X255" s="4">
        <v>0</v>
      </c>
      <c r="Z255" s="4">
        <v>9576</v>
      </c>
      <c r="AB255" s="4">
        <v>0</v>
      </c>
      <c r="AD255" s="4">
        <v>0</v>
      </c>
      <c r="AF255" s="4">
        <f>SUM(F255:AD255)</f>
        <v>188427</v>
      </c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</row>
    <row r="256" spans="1:64" s="4" customFormat="1">
      <c r="A256" s="4">
        <v>57</v>
      </c>
      <c r="B256" s="3" t="s">
        <v>252</v>
      </c>
      <c r="C256" s="3"/>
      <c r="D256" s="3" t="s">
        <v>19</v>
      </c>
      <c r="E256" s="3"/>
      <c r="F256" s="4">
        <v>2845351</v>
      </c>
      <c r="H256" s="4">
        <v>803044</v>
      </c>
      <c r="J256" s="4">
        <v>670577</v>
      </c>
      <c r="L256" s="4">
        <f>766621</f>
        <v>766621</v>
      </c>
      <c r="N256" s="4">
        <v>0</v>
      </c>
      <c r="P256" s="4">
        <v>93460</v>
      </c>
      <c r="R256" s="4">
        <v>17062</v>
      </c>
      <c r="T256" s="4">
        <v>53272</v>
      </c>
      <c r="V256" s="4">
        <v>0</v>
      </c>
      <c r="X256" s="4">
        <v>0</v>
      </c>
      <c r="Z256" s="4">
        <v>82465</v>
      </c>
      <c r="AB256" s="4">
        <v>0</v>
      </c>
      <c r="AD256" s="4">
        <v>0</v>
      </c>
      <c r="AF256" s="4">
        <f>SUM(F256:AD256)</f>
        <v>5331852</v>
      </c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</row>
    <row r="257" spans="1:64" s="4" customFormat="1">
      <c r="A257" s="4">
        <v>118</v>
      </c>
      <c r="B257" s="4" t="s">
        <v>447</v>
      </c>
      <c r="D257" s="4" t="s">
        <v>170</v>
      </c>
      <c r="F257" s="4">
        <v>0</v>
      </c>
      <c r="H257" s="4">
        <v>5833</v>
      </c>
      <c r="J257" s="4">
        <v>25659</v>
      </c>
      <c r="L257" s="4">
        <f>716</f>
        <v>716</v>
      </c>
      <c r="N257" s="4">
        <v>0</v>
      </c>
      <c r="P257" s="4">
        <v>678</v>
      </c>
      <c r="R257" s="4">
        <v>1292</v>
      </c>
      <c r="T257" s="4">
        <v>25250</v>
      </c>
      <c r="V257" s="4">
        <v>0</v>
      </c>
      <c r="X257" s="4">
        <v>0</v>
      </c>
      <c r="Z257" s="4">
        <v>0</v>
      </c>
      <c r="AB257" s="4">
        <v>0</v>
      </c>
      <c r="AD257" s="4">
        <v>0</v>
      </c>
      <c r="AF257" s="4">
        <f>SUM(F257:AD257)</f>
        <v>59428</v>
      </c>
      <c r="AG257" s="51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</row>
    <row r="258" spans="1:64" s="4" customFormat="1">
      <c r="A258" s="4">
        <v>79</v>
      </c>
      <c r="B258" s="3" t="s">
        <v>254</v>
      </c>
      <c r="C258" s="3"/>
      <c r="D258" s="3" t="s">
        <v>92</v>
      </c>
      <c r="E258" s="3"/>
      <c r="F258" s="4">
        <v>2058786</v>
      </c>
      <c r="H258" s="4">
        <v>628833</v>
      </c>
      <c r="J258" s="4">
        <v>937388</v>
      </c>
      <c r="L258" s="4">
        <f>466754</f>
        <v>466754</v>
      </c>
      <c r="N258" s="4">
        <v>0</v>
      </c>
      <c r="P258" s="4">
        <v>101560</v>
      </c>
      <c r="R258" s="4">
        <v>34760</v>
      </c>
      <c r="T258" s="4">
        <v>35080</v>
      </c>
      <c r="V258" s="4">
        <v>0</v>
      </c>
      <c r="X258" s="4">
        <v>0</v>
      </c>
      <c r="Z258" s="4">
        <v>0</v>
      </c>
      <c r="AB258" s="4">
        <v>0</v>
      </c>
      <c r="AD258" s="4">
        <v>0</v>
      </c>
      <c r="AF258" s="4">
        <f>SUM(F258:AD258)</f>
        <v>4263161</v>
      </c>
      <c r="AG258" s="51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</row>
    <row r="259" spans="1:64" s="4" customFormat="1">
      <c r="A259" s="4">
        <v>22</v>
      </c>
      <c r="B259" s="35" t="s">
        <v>316</v>
      </c>
      <c r="C259" s="35"/>
      <c r="D259" s="35" t="s">
        <v>474</v>
      </c>
      <c r="E259" s="35"/>
      <c r="F259" s="4">
        <v>279881</v>
      </c>
      <c r="G259" s="35"/>
      <c r="H259" s="4">
        <v>58336</v>
      </c>
      <c r="I259" s="35"/>
      <c r="J259" s="4">
        <v>96537</v>
      </c>
      <c r="K259" s="35"/>
      <c r="L259" s="4">
        <v>64669</v>
      </c>
      <c r="M259" s="35"/>
      <c r="N259" s="4">
        <v>0</v>
      </c>
      <c r="O259" s="35"/>
      <c r="P259" s="4">
        <v>12638</v>
      </c>
      <c r="Q259" s="35"/>
      <c r="R259" s="4">
        <v>3947</v>
      </c>
      <c r="S259" s="35"/>
      <c r="T259" s="4">
        <v>60491</v>
      </c>
      <c r="U259" s="35"/>
      <c r="V259" s="4">
        <v>0</v>
      </c>
      <c r="W259" s="35"/>
      <c r="X259" s="4">
        <v>0</v>
      </c>
      <c r="Y259" s="35"/>
      <c r="Z259" s="4">
        <v>0</v>
      </c>
      <c r="AA259" s="35"/>
      <c r="AB259" s="4">
        <v>0</v>
      </c>
      <c r="AC259" s="35"/>
      <c r="AD259" s="4">
        <v>0</v>
      </c>
      <c r="AE259" s="35"/>
      <c r="AF259" s="4">
        <f>SUM(F259:AD259)</f>
        <v>576499</v>
      </c>
      <c r="AG259" s="51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</row>
    <row r="260" spans="1:64" s="4" customFormat="1">
      <c r="A260" s="4">
        <v>18</v>
      </c>
      <c r="B260" s="35" t="s">
        <v>344</v>
      </c>
      <c r="C260" s="35"/>
      <c r="D260" s="35" t="s">
        <v>473</v>
      </c>
      <c r="E260" s="35"/>
      <c r="F260" s="4">
        <v>291527</v>
      </c>
      <c r="G260" s="35"/>
      <c r="H260" s="4">
        <v>70489</v>
      </c>
      <c r="I260" s="35"/>
      <c r="J260" s="4">
        <v>95726</v>
      </c>
      <c r="K260" s="35"/>
      <c r="L260" s="4">
        <v>62464</v>
      </c>
      <c r="M260" s="35"/>
      <c r="N260" s="4">
        <v>0</v>
      </c>
      <c r="O260" s="35"/>
      <c r="P260" s="4">
        <v>23202</v>
      </c>
      <c r="Q260" s="35"/>
      <c r="R260" s="4">
        <v>6036</v>
      </c>
      <c r="S260" s="35"/>
      <c r="T260" s="4">
        <v>10803</v>
      </c>
      <c r="U260" s="35"/>
      <c r="V260" s="4">
        <v>0</v>
      </c>
      <c r="W260" s="35"/>
      <c r="X260" s="4">
        <v>0</v>
      </c>
      <c r="Y260" s="35"/>
      <c r="Z260" s="4">
        <v>0</v>
      </c>
      <c r="AA260" s="35"/>
      <c r="AB260" s="4">
        <v>0</v>
      </c>
      <c r="AC260" s="35"/>
      <c r="AD260" s="4">
        <v>0</v>
      </c>
      <c r="AE260" s="35"/>
      <c r="AF260" s="4">
        <f>SUM(F260:AD260)</f>
        <v>560247</v>
      </c>
      <c r="AG260" s="51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</row>
    <row r="261" spans="1:64" s="4" customFormat="1">
      <c r="A261" s="4">
        <v>215</v>
      </c>
      <c r="B261" s="3" t="s">
        <v>594</v>
      </c>
      <c r="C261" s="3"/>
      <c r="D261" s="3" t="s">
        <v>25</v>
      </c>
      <c r="E261" s="3"/>
      <c r="F261" s="4">
        <f>1709318+685815</f>
        <v>2395133</v>
      </c>
      <c r="H261" s="4">
        <v>0</v>
      </c>
      <c r="J261" s="4">
        <v>0</v>
      </c>
      <c r="L261" s="4">
        <v>7759743</v>
      </c>
      <c r="N261" s="4">
        <v>966820</v>
      </c>
      <c r="P261" s="4">
        <v>0</v>
      </c>
      <c r="R261" s="4">
        <v>2687272</v>
      </c>
      <c r="T261" s="4">
        <v>370860</v>
      </c>
      <c r="V261" s="4">
        <v>0</v>
      </c>
      <c r="X261" s="4">
        <v>0</v>
      </c>
      <c r="Z261" s="4">
        <v>0</v>
      </c>
      <c r="AB261" s="4">
        <v>0</v>
      </c>
      <c r="AD261" s="4">
        <v>0</v>
      </c>
      <c r="AF261" s="4">
        <f>SUM(F261:AD261)</f>
        <v>14179828</v>
      </c>
      <c r="AG261" s="51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</row>
    <row r="262" spans="1:64" s="4" customFormat="1">
      <c r="A262" s="4">
        <v>120</v>
      </c>
      <c r="B262" s="3" t="s">
        <v>256</v>
      </c>
      <c r="C262" s="3"/>
      <c r="D262" s="3" t="s">
        <v>257</v>
      </c>
      <c r="E262" s="3"/>
      <c r="F262" s="4">
        <v>1507276</v>
      </c>
      <c r="H262" s="4">
        <v>643891</v>
      </c>
      <c r="J262" s="4">
        <v>454737</v>
      </c>
      <c r="L262" s="4">
        <f>371368</f>
        <v>371368</v>
      </c>
      <c r="N262" s="4">
        <v>0</v>
      </c>
      <c r="P262" s="4">
        <v>79118</v>
      </c>
      <c r="R262" s="4">
        <v>12469</v>
      </c>
      <c r="T262" s="4">
        <v>17236</v>
      </c>
      <c r="V262" s="4">
        <v>0</v>
      </c>
      <c r="X262" s="4">
        <v>0</v>
      </c>
      <c r="Z262" s="4">
        <v>300000</v>
      </c>
      <c r="AB262" s="4">
        <v>0</v>
      </c>
      <c r="AD262" s="4">
        <v>0</v>
      </c>
      <c r="AF262" s="4">
        <f>SUM(F262:AD262)</f>
        <v>3386095</v>
      </c>
      <c r="AG262" s="51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</row>
    <row r="263" spans="1:64" s="4" customFormat="1">
      <c r="A263" s="4">
        <v>220</v>
      </c>
      <c r="B263" s="3" t="s">
        <v>258</v>
      </c>
      <c r="C263" s="3"/>
      <c r="D263" s="3" t="s">
        <v>22</v>
      </c>
      <c r="E263" s="3"/>
      <c r="F263" s="4">
        <v>241572</v>
      </c>
      <c r="H263" s="4">
        <v>0</v>
      </c>
      <c r="J263" s="4">
        <v>0</v>
      </c>
      <c r="L263" s="4">
        <v>1033464</v>
      </c>
      <c r="N263" s="4">
        <v>454435</v>
      </c>
      <c r="P263" s="4">
        <v>0</v>
      </c>
      <c r="R263" s="4">
        <v>555017</v>
      </c>
      <c r="T263" s="4">
        <v>53866</v>
      </c>
      <c r="V263" s="4">
        <v>0</v>
      </c>
      <c r="X263" s="4">
        <v>0</v>
      </c>
      <c r="Z263" s="4">
        <v>0</v>
      </c>
      <c r="AB263" s="4">
        <v>0</v>
      </c>
      <c r="AD263" s="4">
        <v>0</v>
      </c>
      <c r="AF263" s="4">
        <f>SUM(F263:AD263)</f>
        <v>2338354</v>
      </c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</row>
    <row r="264" spans="1:64" s="4" customFormat="1">
      <c r="A264" s="4">
        <v>86</v>
      </c>
      <c r="B264" s="3" t="s">
        <v>259</v>
      </c>
      <c r="C264" s="3"/>
      <c r="D264" s="3" t="s">
        <v>42</v>
      </c>
      <c r="E264" s="3"/>
      <c r="F264" s="4">
        <v>203099</v>
      </c>
      <c r="H264" s="4">
        <v>64600</v>
      </c>
      <c r="J264" s="4">
        <v>84570</v>
      </c>
      <c r="L264" s="4">
        <v>29082</v>
      </c>
      <c r="N264" s="4">
        <v>0</v>
      </c>
      <c r="P264" s="4">
        <v>8960</v>
      </c>
      <c r="R264" s="4">
        <v>5441</v>
      </c>
      <c r="T264" s="4">
        <v>3526</v>
      </c>
      <c r="V264" s="4">
        <v>25286</v>
      </c>
      <c r="X264" s="4">
        <v>890</v>
      </c>
      <c r="Z264" s="4">
        <v>129</v>
      </c>
      <c r="AB264" s="4">
        <v>0</v>
      </c>
      <c r="AD264" s="4">
        <v>0</v>
      </c>
      <c r="AF264" s="4">
        <f>SUM(F264:AD264)</f>
        <v>425583</v>
      </c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</row>
    <row r="265" spans="1:64" s="4" customFormat="1">
      <c r="A265" s="4">
        <v>119</v>
      </c>
      <c r="B265" s="35" t="s">
        <v>260</v>
      </c>
      <c r="C265" s="35"/>
      <c r="D265" s="35" t="s">
        <v>486</v>
      </c>
      <c r="E265" s="35"/>
      <c r="F265" s="4">
        <v>284252</v>
      </c>
      <c r="G265" s="35"/>
      <c r="H265" s="4">
        <v>117599</v>
      </c>
      <c r="I265" s="35"/>
      <c r="J265" s="4">
        <v>46121</v>
      </c>
      <c r="K265" s="35"/>
      <c r="L265" s="4">
        <v>48472</v>
      </c>
      <c r="M265" s="35"/>
      <c r="N265" s="4">
        <v>0</v>
      </c>
      <c r="O265" s="35"/>
      <c r="P265" s="4">
        <v>9875</v>
      </c>
      <c r="Q265" s="35"/>
      <c r="R265" s="4">
        <v>5148</v>
      </c>
      <c r="S265" s="35"/>
      <c r="T265" s="4">
        <v>946</v>
      </c>
      <c r="U265" s="35"/>
      <c r="V265" s="4">
        <v>0</v>
      </c>
      <c r="W265" s="35"/>
      <c r="X265" s="4">
        <v>0</v>
      </c>
      <c r="Y265" s="35"/>
      <c r="Z265" s="4">
        <v>0</v>
      </c>
      <c r="AA265" s="35"/>
      <c r="AB265" s="4">
        <v>0</v>
      </c>
      <c r="AC265" s="35"/>
      <c r="AD265" s="4">
        <v>0</v>
      </c>
      <c r="AE265" s="35"/>
      <c r="AF265" s="4">
        <f>SUM(F265:AD265)</f>
        <v>512413</v>
      </c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</row>
    <row r="266" spans="1:64" s="4" customFormat="1">
      <c r="A266" s="4">
        <v>221</v>
      </c>
      <c r="B266" s="3" t="s">
        <v>261</v>
      </c>
      <c r="C266" s="3"/>
      <c r="D266" s="3" t="s">
        <v>22</v>
      </c>
      <c r="E266" s="3"/>
      <c r="F266" s="4">
        <v>1067204</v>
      </c>
      <c r="H266" s="4">
        <v>296512</v>
      </c>
      <c r="J266" s="4">
        <v>483986</v>
      </c>
      <c r="L266" s="4">
        <v>482355</v>
      </c>
      <c r="N266" s="4">
        <v>0</v>
      </c>
      <c r="P266" s="4">
        <v>58173</v>
      </c>
      <c r="R266" s="4">
        <v>15636</v>
      </c>
      <c r="T266" s="4">
        <v>16968</v>
      </c>
      <c r="V266" s="4">
        <v>0</v>
      </c>
      <c r="X266" s="4">
        <v>0</v>
      </c>
      <c r="Z266" s="4">
        <v>0</v>
      </c>
      <c r="AB266" s="4">
        <v>0</v>
      </c>
      <c r="AD266" s="4">
        <v>0</v>
      </c>
      <c r="AF266" s="4">
        <f>SUM(F266:AD266)</f>
        <v>2420834</v>
      </c>
    </row>
    <row r="267" spans="1:64" s="7" customFormat="1">
      <c r="A267" s="39">
        <v>92.1</v>
      </c>
      <c r="B267" s="4" t="s">
        <v>581</v>
      </c>
      <c r="C267" s="3"/>
      <c r="D267" s="3" t="s">
        <v>582</v>
      </c>
      <c r="E267" s="3"/>
      <c r="F267" s="4">
        <v>3439504</v>
      </c>
      <c r="G267" s="4"/>
      <c r="H267" s="4">
        <v>0</v>
      </c>
      <c r="I267" s="4"/>
      <c r="J267" s="4">
        <v>0</v>
      </c>
      <c r="K267" s="4"/>
      <c r="L267" s="4">
        <f>24434437+11472474</f>
        <v>35906911</v>
      </c>
      <c r="M267" s="4"/>
      <c r="N267" s="4">
        <f>9513172+3386945</f>
        <v>12900117</v>
      </c>
      <c r="O267" s="4"/>
      <c r="P267" s="4">
        <v>0</v>
      </c>
      <c r="Q267" s="4"/>
      <c r="R267" s="4">
        <v>0</v>
      </c>
      <c r="S267" s="4"/>
      <c r="T267" s="4">
        <v>0</v>
      </c>
      <c r="U267" s="4"/>
      <c r="V267" s="4">
        <v>48246</v>
      </c>
      <c r="W267" s="4"/>
      <c r="X267" s="4">
        <v>859</v>
      </c>
      <c r="Y267" s="4"/>
      <c r="Z267" s="4">
        <v>2500000</v>
      </c>
      <c r="AA267" s="4"/>
      <c r="AB267" s="4">
        <v>0</v>
      </c>
      <c r="AC267" s="4"/>
      <c r="AD267" s="4">
        <v>0</v>
      </c>
      <c r="AE267" s="4"/>
      <c r="AF267" s="4">
        <f>SUM(F267:AD267)</f>
        <v>54795637</v>
      </c>
      <c r="AG267" s="50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</row>
    <row r="268" spans="1:64" s="4" customFormat="1">
      <c r="A268" s="4">
        <v>71</v>
      </c>
      <c r="B268" s="7" t="s">
        <v>578</v>
      </c>
      <c r="C268" s="7"/>
      <c r="D268" s="7" t="s">
        <v>67</v>
      </c>
      <c r="E268" s="7"/>
      <c r="F268" s="4">
        <v>155123</v>
      </c>
      <c r="H268" s="4">
        <v>8527</v>
      </c>
      <c r="J268" s="4">
        <v>3469</v>
      </c>
      <c r="L268" s="4">
        <f>31665</f>
        <v>31665</v>
      </c>
      <c r="N268" s="4">
        <v>0</v>
      </c>
      <c r="P268" s="4">
        <v>4388</v>
      </c>
      <c r="R268" s="4">
        <v>144793</v>
      </c>
      <c r="T268" s="4">
        <v>0</v>
      </c>
      <c r="V268" s="4">
        <v>4719</v>
      </c>
      <c r="X268" s="4">
        <v>0</v>
      </c>
      <c r="Z268" s="4">
        <v>0</v>
      </c>
      <c r="AB268" s="4">
        <v>0</v>
      </c>
      <c r="AD268" s="4">
        <v>0</v>
      </c>
      <c r="AF268" s="4">
        <f>SUM(F268:AD268)</f>
        <v>352684</v>
      </c>
      <c r="AG268" s="51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</row>
    <row r="269" spans="1:64" s="4" customFormat="1">
      <c r="A269" s="4">
        <v>207</v>
      </c>
      <c r="B269" s="3" t="s">
        <v>262</v>
      </c>
      <c r="C269" s="3"/>
      <c r="D269" s="3" t="s">
        <v>45</v>
      </c>
      <c r="E269" s="3"/>
      <c r="F269" s="4">
        <v>766626</v>
      </c>
      <c r="H269" s="4">
        <v>220638</v>
      </c>
      <c r="J269" s="4">
        <v>169697</v>
      </c>
      <c r="L269" s="4">
        <v>201755</v>
      </c>
      <c r="N269" s="4">
        <v>0</v>
      </c>
      <c r="P269" s="4">
        <v>35783</v>
      </c>
      <c r="R269" s="4">
        <v>11283</v>
      </c>
      <c r="T269" s="4">
        <v>22647</v>
      </c>
      <c r="V269" s="4">
        <v>0</v>
      </c>
      <c r="X269" s="4">
        <v>0</v>
      </c>
      <c r="Z269" s="4">
        <v>188</v>
      </c>
      <c r="AB269" s="4">
        <v>0</v>
      </c>
      <c r="AD269" s="4">
        <v>50</v>
      </c>
      <c r="AF269" s="4">
        <f>SUM(F269:AD269)</f>
        <v>1428667</v>
      </c>
      <c r="AG269" s="51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spans="1:64" s="4" customFormat="1">
      <c r="A270" s="4">
        <v>166</v>
      </c>
      <c r="B270" s="3" t="s">
        <v>448</v>
      </c>
      <c r="C270" s="3"/>
      <c r="D270" s="3" t="s">
        <v>53</v>
      </c>
      <c r="E270" s="3"/>
      <c r="F270" s="4">
        <f>22230+31279</f>
        <v>53509</v>
      </c>
      <c r="H270" s="4">
        <v>0</v>
      </c>
      <c r="J270" s="4">
        <v>0</v>
      </c>
      <c r="L270" s="4">
        <v>478537</v>
      </c>
      <c r="N270" s="4">
        <v>43539</v>
      </c>
      <c r="P270" s="4">
        <v>0</v>
      </c>
      <c r="R270" s="4">
        <v>68239</v>
      </c>
      <c r="T270" s="4">
        <v>186</v>
      </c>
      <c r="V270" s="4">
        <v>0</v>
      </c>
      <c r="X270" s="4">
        <v>0</v>
      </c>
      <c r="Z270" s="4">
        <v>57050</v>
      </c>
      <c r="AB270" s="4">
        <v>0</v>
      </c>
      <c r="AD270" s="4">
        <v>0</v>
      </c>
      <c r="AF270" s="4">
        <f>SUM(F270:AD270)</f>
        <v>701060</v>
      </c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</row>
    <row r="271" spans="1:64" s="4" customFormat="1">
      <c r="A271" s="4">
        <v>147</v>
      </c>
      <c r="B271" s="3" t="s">
        <v>610</v>
      </c>
      <c r="C271" s="3"/>
      <c r="D271" s="3" t="s">
        <v>264</v>
      </c>
      <c r="E271" s="3"/>
      <c r="F271" s="4">
        <v>23373456</v>
      </c>
      <c r="H271" s="4">
        <v>0</v>
      </c>
      <c r="J271" s="4">
        <v>6142399</v>
      </c>
      <c r="L271" s="4">
        <v>4861017</v>
      </c>
      <c r="N271" s="4">
        <v>0</v>
      </c>
      <c r="P271" s="4">
        <v>0</v>
      </c>
      <c r="R271" s="4">
        <v>0</v>
      </c>
      <c r="T271" s="4">
        <v>1172493</v>
      </c>
      <c r="V271" s="4">
        <v>15198</v>
      </c>
      <c r="X271" s="4">
        <v>3030</v>
      </c>
      <c r="Z271" s="4">
        <v>1800000</v>
      </c>
      <c r="AB271" s="4">
        <v>0</v>
      </c>
      <c r="AD271" s="4">
        <v>0</v>
      </c>
      <c r="AF271" s="4">
        <f>SUM(F271:AD271)</f>
        <v>37367593</v>
      </c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</row>
    <row r="272" spans="1:64" s="4" customFormat="1">
      <c r="A272" s="4">
        <v>167</v>
      </c>
      <c r="B272" s="3" t="s">
        <v>611</v>
      </c>
      <c r="C272" s="3"/>
      <c r="D272" s="3" t="s">
        <v>53</v>
      </c>
      <c r="E272" s="3"/>
      <c r="F272" s="4">
        <v>871226</v>
      </c>
      <c r="H272" s="4">
        <v>361433</v>
      </c>
      <c r="J272" s="4">
        <v>211622</v>
      </c>
      <c r="L272" s="4">
        <v>246544</v>
      </c>
      <c r="N272" s="4">
        <v>0</v>
      </c>
      <c r="P272" s="4">
        <v>39698</v>
      </c>
      <c r="R272" s="4">
        <v>5206</v>
      </c>
      <c r="T272" s="4">
        <v>12253</v>
      </c>
      <c r="V272" s="4">
        <v>0</v>
      </c>
      <c r="X272" s="4">
        <v>0</v>
      </c>
      <c r="Z272" s="4">
        <v>7500</v>
      </c>
      <c r="AB272" s="4">
        <v>0</v>
      </c>
      <c r="AD272" s="4">
        <v>0</v>
      </c>
      <c r="AF272" s="4">
        <f>SUM(F272:AD272)</f>
        <v>1755482</v>
      </c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</row>
    <row r="273" spans="1:64" s="4" customFormat="1">
      <c r="A273" s="4">
        <v>236</v>
      </c>
      <c r="B273" s="3" t="s">
        <v>612</v>
      </c>
      <c r="C273" s="3"/>
      <c r="D273" s="3" t="s">
        <v>26</v>
      </c>
      <c r="E273" s="3"/>
      <c r="F273" s="4">
        <f>31903+407461</f>
        <v>439364</v>
      </c>
      <c r="H273" s="4">
        <v>0</v>
      </c>
      <c r="J273" s="4">
        <v>0</v>
      </c>
      <c r="L273" s="4">
        <v>1097769</v>
      </c>
      <c r="N273" s="4">
        <v>163947</v>
      </c>
      <c r="P273" s="4">
        <v>0</v>
      </c>
      <c r="R273" s="4">
        <v>179188</v>
      </c>
      <c r="T273" s="4">
        <v>1179</v>
      </c>
      <c r="V273" s="4">
        <v>0</v>
      </c>
      <c r="X273" s="4">
        <v>0</v>
      </c>
      <c r="Z273" s="4">
        <v>0</v>
      </c>
      <c r="AB273" s="4">
        <v>0</v>
      </c>
      <c r="AD273" s="4">
        <v>0</v>
      </c>
      <c r="AF273" s="4">
        <f>SUM(F273:AD273)</f>
        <v>1881447</v>
      </c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</row>
    <row r="274" spans="1:64" s="4" customFormat="1" ht="13.9" customHeight="1">
      <c r="A274" s="4">
        <v>222</v>
      </c>
      <c r="B274" s="3" t="s">
        <v>319</v>
      </c>
      <c r="C274" s="3"/>
      <c r="D274" s="3" t="s">
        <v>22</v>
      </c>
      <c r="E274" s="3"/>
      <c r="F274" s="4">
        <v>384022</v>
      </c>
      <c r="H274" s="4">
        <v>0</v>
      </c>
      <c r="J274" s="4">
        <v>0</v>
      </c>
      <c r="L274" s="4">
        <v>1049359</v>
      </c>
      <c r="N274" s="4">
        <v>255189</v>
      </c>
      <c r="P274" s="4">
        <v>0</v>
      </c>
      <c r="R274" s="4">
        <v>679488</v>
      </c>
      <c r="T274" s="4">
        <v>33616</v>
      </c>
      <c r="V274" s="4">
        <v>0</v>
      </c>
      <c r="X274" s="4">
        <v>0</v>
      </c>
      <c r="Z274" s="4">
        <v>0</v>
      </c>
      <c r="AB274" s="4">
        <v>0</v>
      </c>
      <c r="AD274" s="4">
        <v>0</v>
      </c>
      <c r="AF274" s="4">
        <f>SUM(F274:AD274)</f>
        <v>2401674</v>
      </c>
      <c r="AG274" s="51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</row>
    <row r="275" spans="1:64">
      <c r="A275" s="4">
        <v>24</v>
      </c>
      <c r="B275" s="3" t="s">
        <v>266</v>
      </c>
      <c r="D275" s="3" t="s">
        <v>47</v>
      </c>
      <c r="F275" s="4">
        <v>306507</v>
      </c>
      <c r="G275" s="4"/>
      <c r="H275" s="4">
        <v>61974</v>
      </c>
      <c r="I275" s="4"/>
      <c r="J275" s="4">
        <v>99914</v>
      </c>
      <c r="K275" s="4"/>
      <c r="L275" s="4">
        <f>37194</f>
        <v>37194</v>
      </c>
      <c r="M275" s="4"/>
      <c r="N275" s="4">
        <v>0</v>
      </c>
      <c r="O275" s="4"/>
      <c r="P275" s="4">
        <v>10299</v>
      </c>
      <c r="Q275" s="4"/>
      <c r="R275" s="4">
        <v>1683</v>
      </c>
      <c r="S275" s="4"/>
      <c r="T275" s="4">
        <v>16732</v>
      </c>
      <c r="U275" s="4"/>
      <c r="V275" s="4">
        <v>0</v>
      </c>
      <c r="W275" s="4"/>
      <c r="X275" s="4">
        <v>0</v>
      </c>
      <c r="Y275" s="4"/>
      <c r="Z275" s="4">
        <v>0</v>
      </c>
      <c r="AA275" s="4"/>
      <c r="AB275" s="4">
        <v>0</v>
      </c>
      <c r="AC275" s="4"/>
      <c r="AD275" s="4">
        <v>0</v>
      </c>
      <c r="AE275" s="4"/>
      <c r="AF275" s="4">
        <f>SUM(F275:AD275)</f>
        <v>534303</v>
      </c>
    </row>
    <row r="276" spans="1:64" s="4" customFormat="1">
      <c r="A276" s="4">
        <v>260</v>
      </c>
      <c r="B276" s="3" t="s">
        <v>268</v>
      </c>
      <c r="C276" s="3"/>
      <c r="D276" s="3" t="s">
        <v>63</v>
      </c>
      <c r="E276" s="3"/>
      <c r="F276" s="4">
        <v>204813</v>
      </c>
      <c r="H276" s="4">
        <v>57559</v>
      </c>
      <c r="J276" s="4">
        <v>54762</v>
      </c>
      <c r="L276" s="4">
        <v>79352</v>
      </c>
      <c r="N276" s="4">
        <v>0</v>
      </c>
      <c r="P276" s="4">
        <v>17399</v>
      </c>
      <c r="R276" s="4">
        <v>17401</v>
      </c>
      <c r="T276" s="4">
        <v>12758</v>
      </c>
      <c r="V276" s="4">
        <v>0</v>
      </c>
      <c r="X276" s="4">
        <v>0</v>
      </c>
      <c r="Z276" s="4">
        <v>0</v>
      </c>
      <c r="AB276" s="4">
        <v>0</v>
      </c>
      <c r="AD276" s="4">
        <v>0</v>
      </c>
      <c r="AF276" s="4">
        <f>SUM(F276:AD276)</f>
        <v>444044</v>
      </c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</row>
    <row r="277" spans="1:64" s="4" customFormat="1">
      <c r="A277" s="4">
        <v>230</v>
      </c>
      <c r="B277" s="3" t="s">
        <v>613</v>
      </c>
      <c r="C277" s="3"/>
      <c r="D277" s="3" t="s">
        <v>56</v>
      </c>
      <c r="E277" s="3"/>
      <c r="F277" s="4">
        <v>2866714</v>
      </c>
      <c r="H277" s="4">
        <v>1113532</v>
      </c>
      <c r="J277" s="4">
        <v>618857</v>
      </c>
      <c r="L277" s="4">
        <f>848612</f>
        <v>848612</v>
      </c>
      <c r="N277" s="4">
        <v>0</v>
      </c>
      <c r="P277" s="4">
        <v>137042</v>
      </c>
      <c r="R277" s="4">
        <v>36188</v>
      </c>
      <c r="T277" s="4">
        <v>462637</v>
      </c>
      <c r="V277" s="4">
        <v>0</v>
      </c>
      <c r="X277" s="4">
        <v>0</v>
      </c>
      <c r="Z277" s="4">
        <v>826239</v>
      </c>
      <c r="AB277" s="4">
        <v>0</v>
      </c>
      <c r="AD277" s="4">
        <v>0</v>
      </c>
      <c r="AF277" s="4">
        <f>SUM(F277:AD277)</f>
        <v>6909821</v>
      </c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</row>
    <row r="278" spans="1:64" s="4" customFormat="1">
      <c r="A278" s="4">
        <v>245</v>
      </c>
      <c r="B278" s="3" t="s">
        <v>614</v>
      </c>
      <c r="C278" s="3"/>
      <c r="D278" s="3" t="s">
        <v>27</v>
      </c>
      <c r="E278" s="3"/>
      <c r="F278" s="4">
        <v>0</v>
      </c>
      <c r="H278" s="4">
        <v>1447841</v>
      </c>
      <c r="J278" s="4">
        <v>0</v>
      </c>
      <c r="L278" s="4">
        <f>419737+370917</f>
        <v>790654</v>
      </c>
      <c r="N278" s="4">
        <v>0</v>
      </c>
      <c r="P278" s="4">
        <v>0</v>
      </c>
      <c r="R278" s="4">
        <v>0</v>
      </c>
      <c r="T278" s="4">
        <v>41818</v>
      </c>
      <c r="V278" s="4">
        <v>0</v>
      </c>
      <c r="X278" s="4">
        <v>0</v>
      </c>
      <c r="Z278" s="4">
        <v>300000</v>
      </c>
      <c r="AB278" s="4">
        <v>0</v>
      </c>
      <c r="AD278" s="4">
        <v>0</v>
      </c>
      <c r="AF278" s="4">
        <f>SUM(F278:AD278)</f>
        <v>2580313</v>
      </c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</row>
    <row r="279" spans="1:64" s="4" customFormat="1">
      <c r="A279" s="4">
        <v>171</v>
      </c>
      <c r="B279" s="3" t="s">
        <v>269</v>
      </c>
      <c r="C279" s="3"/>
      <c r="D279" s="3" t="s">
        <v>55</v>
      </c>
      <c r="E279" s="3"/>
      <c r="F279" s="4">
        <v>3460633</v>
      </c>
      <c r="H279" s="4">
        <v>1266708</v>
      </c>
      <c r="J279" s="4">
        <v>816212</v>
      </c>
      <c r="L279" s="4">
        <f>1051627</f>
        <v>1051627</v>
      </c>
      <c r="N279" s="4">
        <v>0</v>
      </c>
      <c r="P279" s="4">
        <v>189820</v>
      </c>
      <c r="R279" s="4">
        <v>8038</v>
      </c>
      <c r="T279" s="4">
        <v>115149</v>
      </c>
      <c r="V279" s="4">
        <v>0</v>
      </c>
      <c r="X279" s="4">
        <v>0</v>
      </c>
      <c r="Z279" s="4">
        <v>0</v>
      </c>
      <c r="AB279" s="4">
        <v>0</v>
      </c>
      <c r="AD279" s="4">
        <v>0</v>
      </c>
      <c r="AF279" s="4">
        <f>SUM(F279:AD279)</f>
        <v>6908187</v>
      </c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</row>
    <row r="280" spans="1:64" s="4" customFormat="1">
      <c r="A280" s="4">
        <v>87</v>
      </c>
      <c r="B280" s="3" t="s">
        <v>38</v>
      </c>
      <c r="C280" s="3"/>
      <c r="D280" s="3" t="s">
        <v>42</v>
      </c>
      <c r="E280" s="3"/>
      <c r="F280" s="4">
        <v>279024</v>
      </c>
      <c r="H280" s="4">
        <v>43956</v>
      </c>
      <c r="J280" s="4">
        <v>63852</v>
      </c>
      <c r="L280" s="4">
        <v>51063</v>
      </c>
      <c r="N280" s="4">
        <v>0</v>
      </c>
      <c r="P280" s="4">
        <v>11802</v>
      </c>
      <c r="R280" s="4">
        <v>4015</v>
      </c>
      <c r="T280" s="4">
        <v>8789</v>
      </c>
      <c r="V280" s="4">
        <v>0</v>
      </c>
      <c r="X280" s="4">
        <v>0</v>
      </c>
      <c r="Z280" s="4">
        <v>0</v>
      </c>
      <c r="AB280" s="4">
        <v>0</v>
      </c>
      <c r="AD280" s="4">
        <v>0</v>
      </c>
      <c r="AF280" s="4">
        <f>SUM(F280:AD280)</f>
        <v>462501</v>
      </c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</row>
    <row r="281" spans="1:64" s="4" customFormat="1">
      <c r="A281" s="4">
        <v>247</v>
      </c>
      <c r="B281" s="4" t="s">
        <v>615</v>
      </c>
      <c r="D281" s="4" t="s">
        <v>225</v>
      </c>
      <c r="F281" s="35">
        <f>633074+376957</f>
        <v>1010031</v>
      </c>
      <c r="H281" s="35">
        <v>0</v>
      </c>
      <c r="J281" s="35">
        <v>0</v>
      </c>
      <c r="L281" s="35">
        <v>2485355</v>
      </c>
      <c r="N281" s="35">
        <v>561000</v>
      </c>
      <c r="P281" s="4">
        <v>0</v>
      </c>
      <c r="R281" s="35">
        <v>981927</v>
      </c>
      <c r="T281" s="35">
        <v>58411</v>
      </c>
      <c r="V281" s="35">
        <v>0</v>
      </c>
      <c r="X281" s="35">
        <v>0</v>
      </c>
      <c r="Z281" s="35">
        <v>300000</v>
      </c>
      <c r="AB281" s="35">
        <v>0</v>
      </c>
      <c r="AD281" s="35">
        <v>0</v>
      </c>
      <c r="AF281" s="4">
        <f>SUM(F281:AD281)</f>
        <v>5396724</v>
      </c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</row>
    <row r="282" spans="1:64" s="4" customFormat="1">
      <c r="A282" s="4">
        <v>254</v>
      </c>
      <c r="B282" s="3" t="s">
        <v>271</v>
      </c>
      <c r="C282" s="3"/>
      <c r="D282" s="3" t="s">
        <v>65</v>
      </c>
      <c r="E282" s="3"/>
      <c r="F282" s="4">
        <v>174708</v>
      </c>
      <c r="H282" s="4">
        <v>45305</v>
      </c>
      <c r="J282" s="4">
        <v>47011</v>
      </c>
      <c r="L282" s="4">
        <v>39041</v>
      </c>
      <c r="N282" s="4">
        <v>0</v>
      </c>
      <c r="P282" s="4">
        <v>5691</v>
      </c>
      <c r="R282" s="4">
        <v>3318</v>
      </c>
      <c r="T282" s="4">
        <v>85570</v>
      </c>
      <c r="V282" s="4">
        <v>0</v>
      </c>
      <c r="X282" s="4">
        <v>0</v>
      </c>
      <c r="Z282" s="4">
        <v>0</v>
      </c>
      <c r="AB282" s="4">
        <v>0</v>
      </c>
      <c r="AD282" s="4">
        <v>0</v>
      </c>
      <c r="AF282" s="4">
        <f>SUM(F282:AD282)</f>
        <v>400644</v>
      </c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</row>
    <row r="283" spans="1:64">
      <c r="A283" s="4">
        <v>255</v>
      </c>
      <c r="B283" s="3" t="s">
        <v>272</v>
      </c>
      <c r="D283" s="3" t="s">
        <v>65</v>
      </c>
      <c r="F283" s="4">
        <v>934396</v>
      </c>
      <c r="G283" s="4"/>
      <c r="H283" s="4">
        <v>293272</v>
      </c>
      <c r="I283" s="4"/>
      <c r="J283" s="4">
        <v>250222</v>
      </c>
      <c r="K283" s="4"/>
      <c r="L283" s="4">
        <v>236239</v>
      </c>
      <c r="M283" s="4"/>
      <c r="N283" s="4">
        <v>0</v>
      </c>
      <c r="O283" s="4"/>
      <c r="P283" s="4">
        <v>35732</v>
      </c>
      <c r="Q283" s="4"/>
      <c r="R283" s="4">
        <v>4154</v>
      </c>
      <c r="S283" s="4"/>
      <c r="T283" s="4">
        <v>0</v>
      </c>
      <c r="U283" s="4"/>
      <c r="V283" s="4">
        <v>0</v>
      </c>
      <c r="W283" s="4"/>
      <c r="X283" s="4">
        <v>0</v>
      </c>
      <c r="Y283" s="4"/>
      <c r="Z283" s="4">
        <v>0</v>
      </c>
      <c r="AA283" s="4"/>
      <c r="AB283" s="4">
        <v>0</v>
      </c>
      <c r="AC283" s="4"/>
      <c r="AD283" s="4">
        <v>0</v>
      </c>
      <c r="AE283" s="4"/>
      <c r="AF283" s="4">
        <f>SUM(F283:AD283)</f>
        <v>1754015</v>
      </c>
      <c r="AG283" s="51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4"/>
    </row>
    <row r="284" spans="1:64" s="4" customFormat="1">
      <c r="A284" s="4">
        <v>44</v>
      </c>
      <c r="B284" s="35" t="s">
        <v>273</v>
      </c>
      <c r="C284" s="35"/>
      <c r="D284" s="35" t="s">
        <v>481</v>
      </c>
      <c r="E284" s="35"/>
      <c r="F284" s="4">
        <v>178940</v>
      </c>
      <c r="G284" s="35"/>
      <c r="H284" s="4">
        <v>59685</v>
      </c>
      <c r="I284" s="35"/>
      <c r="J284" s="4">
        <v>53240</v>
      </c>
      <c r="K284" s="35"/>
      <c r="L284" s="4">
        <v>100852</v>
      </c>
      <c r="M284" s="35"/>
      <c r="N284" s="4">
        <v>0</v>
      </c>
      <c r="O284" s="35"/>
      <c r="P284" s="4">
        <v>5245</v>
      </c>
      <c r="Q284" s="35"/>
      <c r="R284" s="4">
        <v>11830</v>
      </c>
      <c r="S284" s="35"/>
      <c r="T284" s="4">
        <v>5800</v>
      </c>
      <c r="U284" s="35"/>
      <c r="V284" s="4">
        <v>0</v>
      </c>
      <c r="W284" s="35"/>
      <c r="X284" s="4">
        <v>0</v>
      </c>
      <c r="Y284" s="35"/>
      <c r="Z284" s="4">
        <v>0</v>
      </c>
      <c r="AA284" s="35"/>
      <c r="AB284" s="4">
        <v>0</v>
      </c>
      <c r="AC284" s="35"/>
      <c r="AD284" s="4">
        <v>0</v>
      </c>
      <c r="AE284" s="35"/>
      <c r="AF284" s="4">
        <f>SUM(F284:AD284)</f>
        <v>415592</v>
      </c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</row>
    <row r="285" spans="1:64">
      <c r="A285" s="4">
        <v>78</v>
      </c>
      <c r="B285" s="3" t="s">
        <v>577</v>
      </c>
      <c r="D285" s="3" t="s">
        <v>92</v>
      </c>
      <c r="F285" s="4">
        <v>2238501</v>
      </c>
      <c r="G285" s="4"/>
      <c r="H285" s="4">
        <v>881509</v>
      </c>
      <c r="I285" s="4"/>
      <c r="J285" s="4">
        <v>910219</v>
      </c>
      <c r="K285" s="4"/>
      <c r="L285" s="4">
        <f>724020</f>
        <v>724020</v>
      </c>
      <c r="M285" s="4"/>
      <c r="N285" s="4">
        <v>0</v>
      </c>
      <c r="O285" s="4"/>
      <c r="P285" s="4">
        <v>129993</v>
      </c>
      <c r="Q285" s="4"/>
      <c r="R285" s="4">
        <v>17774</v>
      </c>
      <c r="S285" s="4"/>
      <c r="T285" s="4">
        <v>132290</v>
      </c>
      <c r="U285" s="4"/>
      <c r="V285" s="4">
        <v>500000</v>
      </c>
      <c r="W285" s="4"/>
      <c r="X285" s="4">
        <v>45775</v>
      </c>
      <c r="Y285" s="4"/>
      <c r="Z285" s="4">
        <v>0</v>
      </c>
      <c r="AA285" s="4"/>
      <c r="AB285" s="4">
        <v>0</v>
      </c>
      <c r="AC285" s="4"/>
      <c r="AD285" s="4">
        <v>0</v>
      </c>
      <c r="AE285" s="4"/>
      <c r="AF285" s="4">
        <f>SUM(F285:AD285)</f>
        <v>5580081</v>
      </c>
      <c r="AH285" s="52"/>
      <c r="AI285" s="52"/>
      <c r="AJ285" s="52"/>
      <c r="AK285" s="52"/>
    </row>
    <row r="286" spans="1:64" s="4" customFormat="1" ht="12" customHeight="1">
      <c r="A286" s="4">
        <v>256</v>
      </c>
      <c r="B286" s="3" t="s">
        <v>274</v>
      </c>
      <c r="C286" s="3"/>
      <c r="D286" s="3" t="s">
        <v>65</v>
      </c>
      <c r="E286" s="3"/>
      <c r="F286" s="4">
        <v>228637</v>
      </c>
      <c r="H286" s="4">
        <v>83248</v>
      </c>
      <c r="J286" s="4">
        <v>52994</v>
      </c>
      <c r="L286" s="4">
        <v>74098</v>
      </c>
      <c r="N286" s="4">
        <v>0</v>
      </c>
      <c r="P286" s="4">
        <v>11350</v>
      </c>
      <c r="R286" s="4">
        <v>4016</v>
      </c>
      <c r="T286" s="4">
        <v>0</v>
      </c>
      <c r="V286" s="4">
        <v>0</v>
      </c>
      <c r="X286" s="4">
        <v>0</v>
      </c>
      <c r="Z286" s="4">
        <v>0</v>
      </c>
      <c r="AB286" s="4">
        <v>0</v>
      </c>
      <c r="AD286" s="4">
        <v>0</v>
      </c>
      <c r="AF286" s="4">
        <f>SUM(F286:AD286)</f>
        <v>454343</v>
      </c>
      <c r="AG286" s="51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</row>
    <row r="287" spans="1:64" s="4" customFormat="1">
      <c r="A287" s="4">
        <v>129</v>
      </c>
      <c r="B287" s="3" t="s">
        <v>469</v>
      </c>
      <c r="C287" s="3"/>
      <c r="D287" s="3" t="s">
        <v>487</v>
      </c>
      <c r="E287" s="3"/>
      <c r="F287" s="4">
        <v>642968</v>
      </c>
      <c r="H287" s="4">
        <v>270737</v>
      </c>
      <c r="J287" s="4">
        <v>111295</v>
      </c>
      <c r="L287" s="4">
        <v>252024</v>
      </c>
      <c r="N287" s="4">
        <v>0</v>
      </c>
      <c r="P287" s="4">
        <v>29722</v>
      </c>
      <c r="R287" s="4">
        <v>5816</v>
      </c>
      <c r="T287" s="4">
        <v>2049</v>
      </c>
      <c r="V287" s="4">
        <v>0</v>
      </c>
      <c r="X287" s="4">
        <v>0</v>
      </c>
      <c r="Z287" s="4">
        <v>400000</v>
      </c>
      <c r="AB287" s="4">
        <v>0</v>
      </c>
      <c r="AD287" s="4">
        <v>0</v>
      </c>
      <c r="AF287" s="4">
        <f>SUM(F287:AD287)</f>
        <v>1714611</v>
      </c>
      <c r="AG287" s="51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</row>
    <row r="288" spans="1:64" s="4" customFormat="1">
      <c r="A288" s="4">
        <v>114</v>
      </c>
      <c r="B288" s="3" t="s">
        <v>275</v>
      </c>
      <c r="C288" s="3"/>
      <c r="D288" s="3" t="s">
        <v>89</v>
      </c>
      <c r="E288" s="3"/>
      <c r="F288" s="4">
        <v>537725</v>
      </c>
      <c r="H288" s="4">
        <v>122853</v>
      </c>
      <c r="J288" s="4">
        <v>106871</v>
      </c>
      <c r="L288" s="4">
        <f>63810</f>
        <v>63810</v>
      </c>
      <c r="N288" s="4">
        <v>0</v>
      </c>
      <c r="P288" s="4">
        <v>20107</v>
      </c>
      <c r="R288" s="4">
        <v>35323</v>
      </c>
      <c r="T288" s="4">
        <v>1726</v>
      </c>
      <c r="V288" s="4">
        <v>0</v>
      </c>
      <c r="X288" s="4">
        <v>0</v>
      </c>
      <c r="Z288" s="4">
        <v>0</v>
      </c>
      <c r="AB288" s="4">
        <v>0</v>
      </c>
      <c r="AD288" s="4">
        <v>0</v>
      </c>
      <c r="AF288" s="4">
        <f>SUM(F288:AD288)</f>
        <v>888415</v>
      </c>
      <c r="AG288" s="51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</row>
    <row r="289" spans="1:64" s="4" customFormat="1">
      <c r="A289" s="4">
        <v>249</v>
      </c>
      <c r="B289" s="3" t="s">
        <v>616</v>
      </c>
      <c r="C289" s="3"/>
      <c r="D289" s="3" t="s">
        <v>204</v>
      </c>
      <c r="E289" s="3"/>
      <c r="F289" s="4">
        <v>969232</v>
      </c>
      <c r="H289" s="4">
        <v>306090</v>
      </c>
      <c r="J289" s="4">
        <v>272095</v>
      </c>
      <c r="L289" s="4">
        <f>276295</f>
        <v>276295</v>
      </c>
      <c r="N289" s="4">
        <v>0</v>
      </c>
      <c r="P289" s="4">
        <v>68215</v>
      </c>
      <c r="R289" s="4">
        <v>24941</v>
      </c>
      <c r="T289" s="4">
        <v>89547</v>
      </c>
      <c r="V289" s="4">
        <v>0</v>
      </c>
      <c r="X289" s="4">
        <v>0</v>
      </c>
      <c r="Z289" s="4">
        <v>0</v>
      </c>
      <c r="AB289" s="4">
        <v>0</v>
      </c>
      <c r="AD289" s="4">
        <v>0</v>
      </c>
      <c r="AF289" s="4">
        <f>SUM(F289:AD289)</f>
        <v>2006415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 s="4" customFormat="1">
      <c r="A290" s="39">
        <v>130</v>
      </c>
      <c r="B290" s="3" t="s">
        <v>276</v>
      </c>
      <c r="C290" s="3"/>
      <c r="D290" s="3" t="s">
        <v>15</v>
      </c>
      <c r="E290" s="3"/>
      <c r="F290" s="4">
        <f>666108+118405</f>
        <v>784513</v>
      </c>
      <c r="H290" s="4">
        <v>0</v>
      </c>
      <c r="J290" s="4">
        <v>0</v>
      </c>
      <c r="L290" s="4">
        <v>3212772</v>
      </c>
      <c r="N290" s="4">
        <v>501360</v>
      </c>
      <c r="P290" s="4">
        <v>0</v>
      </c>
      <c r="R290" s="4">
        <v>254521</v>
      </c>
      <c r="T290" s="4">
        <v>0</v>
      </c>
      <c r="V290" s="4">
        <v>0</v>
      </c>
      <c r="X290" s="4">
        <v>0</v>
      </c>
      <c r="Z290" s="4">
        <v>0</v>
      </c>
      <c r="AB290" s="4">
        <v>0</v>
      </c>
      <c r="AD290" s="4">
        <v>0</v>
      </c>
      <c r="AF290" s="4">
        <f>SUM(F290:AD290)</f>
        <v>4753166</v>
      </c>
      <c r="AG290" s="51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</row>
    <row r="291" spans="1:64" s="4" customFormat="1">
      <c r="A291" s="4">
        <v>37</v>
      </c>
      <c r="B291" s="3" t="s">
        <v>277</v>
      </c>
      <c r="C291" s="3"/>
      <c r="D291" s="3" t="s">
        <v>69</v>
      </c>
      <c r="E291" s="3"/>
      <c r="F291" s="4">
        <v>421284</v>
      </c>
      <c r="H291" s="4">
        <v>121172</v>
      </c>
      <c r="J291" s="4">
        <v>105069</v>
      </c>
      <c r="L291" s="4">
        <v>67705</v>
      </c>
      <c r="N291" s="4">
        <v>0</v>
      </c>
      <c r="P291" s="4">
        <v>26112</v>
      </c>
      <c r="R291" s="4">
        <v>9075</v>
      </c>
      <c r="T291" s="4">
        <v>3720</v>
      </c>
      <c r="V291" s="4">
        <v>0</v>
      </c>
      <c r="X291" s="4">
        <v>0</v>
      </c>
      <c r="Z291" s="4">
        <v>0</v>
      </c>
      <c r="AB291" s="4">
        <v>0</v>
      </c>
      <c r="AD291" s="4">
        <v>0</v>
      </c>
      <c r="AF291" s="4">
        <f>SUM(F291:AD291)</f>
        <v>754137</v>
      </c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>
      <c r="A292" s="4">
        <v>257</v>
      </c>
      <c r="B292" s="3" t="s">
        <v>617</v>
      </c>
      <c r="D292" s="3" t="s">
        <v>65</v>
      </c>
      <c r="F292" s="4">
        <v>914516</v>
      </c>
      <c r="G292" s="4"/>
      <c r="H292" s="4">
        <v>246019</v>
      </c>
      <c r="I292" s="4"/>
      <c r="J292" s="4">
        <v>326001</v>
      </c>
      <c r="K292" s="4"/>
      <c r="L292" s="4">
        <f>209900</f>
        <v>209900</v>
      </c>
      <c r="M292" s="4"/>
      <c r="N292" s="4">
        <v>0</v>
      </c>
      <c r="O292" s="4"/>
      <c r="P292" s="4">
        <v>32108</v>
      </c>
      <c r="Q292" s="4"/>
      <c r="R292" s="4">
        <v>16598</v>
      </c>
      <c r="S292" s="4"/>
      <c r="T292" s="4">
        <v>22632</v>
      </c>
      <c r="U292" s="4"/>
      <c r="V292" s="4">
        <v>42809</v>
      </c>
      <c r="W292" s="4"/>
      <c r="X292" s="4">
        <v>41942</v>
      </c>
      <c r="Y292" s="4"/>
      <c r="Z292" s="4">
        <v>0</v>
      </c>
      <c r="AA292" s="4"/>
      <c r="AB292" s="4">
        <v>0</v>
      </c>
      <c r="AC292" s="4"/>
      <c r="AD292" s="4">
        <v>0</v>
      </c>
      <c r="AE292" s="4"/>
      <c r="AF292" s="4">
        <f>SUM(F292:AD292)</f>
        <v>1852525</v>
      </c>
    </row>
    <row r="293" spans="1:64">
      <c r="A293" s="4">
        <v>61</v>
      </c>
      <c r="B293" s="3" t="s">
        <v>278</v>
      </c>
      <c r="D293" s="3" t="s">
        <v>81</v>
      </c>
      <c r="F293" s="4">
        <v>168948</v>
      </c>
      <c r="G293" s="4"/>
      <c r="H293" s="4">
        <v>39093</v>
      </c>
      <c r="I293" s="4"/>
      <c r="J293" s="4">
        <v>54078</v>
      </c>
      <c r="K293" s="4"/>
      <c r="L293" s="4">
        <v>71325</v>
      </c>
      <c r="M293" s="4"/>
      <c r="N293" s="4">
        <v>0</v>
      </c>
      <c r="O293" s="4"/>
      <c r="P293" s="4">
        <v>8491</v>
      </c>
      <c r="Q293" s="4"/>
      <c r="R293" s="4">
        <v>1222</v>
      </c>
      <c r="S293" s="4"/>
      <c r="T293" s="4">
        <v>9900</v>
      </c>
      <c r="U293" s="4"/>
      <c r="V293" s="4">
        <v>0</v>
      </c>
      <c r="W293" s="4"/>
      <c r="X293" s="4">
        <v>0</v>
      </c>
      <c r="Y293" s="4"/>
      <c r="Z293" s="4">
        <v>0</v>
      </c>
      <c r="AA293" s="4"/>
      <c r="AB293" s="4">
        <v>0</v>
      </c>
      <c r="AC293" s="4"/>
      <c r="AD293" s="4">
        <v>0</v>
      </c>
      <c r="AE293" s="4"/>
      <c r="AF293" s="4">
        <f>SUM(F293:AD293)</f>
        <v>353057</v>
      </c>
      <c r="AG293" s="51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4"/>
    </row>
    <row r="294" spans="1:64" s="4" customFormat="1">
      <c r="A294" s="4">
        <v>65</v>
      </c>
      <c r="B294" s="3" t="s">
        <v>320</v>
      </c>
      <c r="C294" s="3"/>
      <c r="D294" s="3" t="s">
        <v>70</v>
      </c>
      <c r="E294" s="3"/>
      <c r="F294" s="4">
        <v>103235</v>
      </c>
      <c r="H294" s="4">
        <v>15796</v>
      </c>
      <c r="J294" s="4">
        <v>23988</v>
      </c>
      <c r="L294" s="4">
        <v>24686</v>
      </c>
      <c r="N294" s="4">
        <v>0</v>
      </c>
      <c r="P294" s="4">
        <v>2896</v>
      </c>
      <c r="R294" s="4">
        <v>411</v>
      </c>
      <c r="T294" s="4">
        <v>1566</v>
      </c>
      <c r="V294" s="4">
        <v>0</v>
      </c>
      <c r="X294" s="4">
        <v>0</v>
      </c>
      <c r="Z294" s="4">
        <v>0</v>
      </c>
      <c r="AB294" s="4">
        <v>0</v>
      </c>
      <c r="AD294" s="4">
        <v>0</v>
      </c>
      <c r="AF294" s="4">
        <f>SUM(F294:AD294)</f>
        <v>172578</v>
      </c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</row>
    <row r="295" spans="1:64" s="4" customFormat="1">
      <c r="A295" s="4">
        <v>81</v>
      </c>
      <c r="B295" s="3" t="s">
        <v>279</v>
      </c>
      <c r="C295" s="3"/>
      <c r="D295" s="3" t="s">
        <v>92</v>
      </c>
      <c r="E295" s="3"/>
      <c r="F295" s="4">
        <f>1256978+771954</f>
        <v>2028932</v>
      </c>
      <c r="H295" s="4">
        <v>0</v>
      </c>
      <c r="J295" s="4">
        <v>0</v>
      </c>
      <c r="L295" s="4">
        <v>3303979</v>
      </c>
      <c r="N295" s="4">
        <v>711032</v>
      </c>
      <c r="P295" s="4">
        <v>0</v>
      </c>
      <c r="R295" s="4">
        <v>2159378</v>
      </c>
      <c r="T295" s="4">
        <v>178697</v>
      </c>
      <c r="V295" s="4">
        <v>0</v>
      </c>
      <c r="X295" s="4">
        <v>0</v>
      </c>
      <c r="Z295" s="4">
        <v>601800</v>
      </c>
      <c r="AB295" s="4">
        <v>0</v>
      </c>
      <c r="AD295" s="4">
        <v>0</v>
      </c>
      <c r="AF295" s="4">
        <f>SUM(F295:AD295)</f>
        <v>8983818</v>
      </c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</row>
    <row r="296" spans="1:64" s="4" customFormat="1">
      <c r="A296" s="4">
        <v>172</v>
      </c>
      <c r="B296" s="35" t="s">
        <v>470</v>
      </c>
      <c r="C296" s="35"/>
      <c r="D296" s="35" t="s">
        <v>497</v>
      </c>
      <c r="E296" s="35"/>
      <c r="F296" s="4">
        <v>929950</v>
      </c>
      <c r="G296" s="35"/>
      <c r="H296" s="4">
        <v>214617</v>
      </c>
      <c r="I296" s="35"/>
      <c r="J296" s="4">
        <v>177231</v>
      </c>
      <c r="K296" s="35"/>
      <c r="L296" s="4">
        <v>328875</v>
      </c>
      <c r="M296" s="35"/>
      <c r="N296" s="4">
        <v>0</v>
      </c>
      <c r="O296" s="35"/>
      <c r="P296" s="4">
        <v>34788</v>
      </c>
      <c r="Q296" s="35"/>
      <c r="R296" s="4">
        <v>4559</v>
      </c>
      <c r="S296" s="35"/>
      <c r="T296" s="4">
        <v>52145</v>
      </c>
      <c r="U296" s="35"/>
      <c r="V296" s="4">
        <v>0</v>
      </c>
      <c r="W296" s="35"/>
      <c r="X296" s="4">
        <v>0</v>
      </c>
      <c r="Y296" s="35"/>
      <c r="Z296" s="4">
        <v>0</v>
      </c>
      <c r="AA296" s="35"/>
      <c r="AB296" s="4">
        <v>0</v>
      </c>
      <c r="AC296" s="35"/>
      <c r="AD296" s="4">
        <v>0</v>
      </c>
      <c r="AE296" s="35"/>
      <c r="AF296" s="4">
        <f>SUM(F296:AD296)</f>
        <v>1742165</v>
      </c>
      <c r="AG296" s="51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</row>
    <row r="297" spans="1:64" s="4" customFormat="1">
      <c r="B297" s="3"/>
      <c r="C297" s="3"/>
      <c r="D297" s="3"/>
      <c r="E297" s="3"/>
      <c r="G297" s="3"/>
      <c r="I297" s="3"/>
      <c r="K297" s="3"/>
      <c r="M297" s="3"/>
      <c r="O297" s="3"/>
      <c r="Q297" s="3"/>
      <c r="S297" s="3"/>
      <c r="U297" s="3"/>
      <c r="W297" s="3"/>
      <c r="Y297" s="3"/>
      <c r="AA297" s="3"/>
      <c r="AC297" s="3"/>
      <c r="AE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</row>
    <row r="298" spans="1:64" s="4" customFormat="1">
      <c r="B298" s="3"/>
      <c r="C298" s="3"/>
      <c r="D298" s="3"/>
      <c r="E298" s="3"/>
      <c r="G298" s="3"/>
      <c r="I298" s="3"/>
      <c r="K298" s="3"/>
      <c r="M298" s="3"/>
      <c r="O298" s="3"/>
      <c r="Q298" s="3"/>
      <c r="S298" s="3"/>
      <c r="U298" s="3"/>
      <c r="W298" s="3"/>
      <c r="Y298" s="3"/>
      <c r="AA298" s="3"/>
      <c r="AC298" s="3"/>
      <c r="AE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299" spans="1:64" s="4" customFormat="1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8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</row>
    <row r="300" spans="1:64" s="4" customFormat="1">
      <c r="B300" s="3"/>
      <c r="C300" s="3"/>
      <c r="D300" s="3"/>
      <c r="E300" s="3"/>
      <c r="G300" s="3"/>
      <c r="I300" s="3"/>
      <c r="K300" s="3"/>
      <c r="M300" s="3"/>
      <c r="O300" s="3"/>
      <c r="Q300" s="3"/>
      <c r="S300" s="3"/>
      <c r="U300" s="3"/>
      <c r="W300" s="3"/>
      <c r="Y300" s="3"/>
      <c r="AA300" s="3"/>
      <c r="AC300" s="3"/>
      <c r="AE300" s="3"/>
      <c r="AF300" s="8"/>
      <c r="AG300" s="51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</row>
    <row r="301" spans="1:64" s="4" customFormat="1">
      <c r="B301" s="3"/>
      <c r="C301" s="3"/>
      <c r="D301" s="3"/>
      <c r="E301" s="3"/>
      <c r="G301" s="3"/>
      <c r="I301" s="3"/>
      <c r="K301" s="3"/>
      <c r="M301" s="3"/>
      <c r="O301" s="3"/>
      <c r="Q301" s="3"/>
      <c r="S301" s="3"/>
      <c r="U301" s="3"/>
      <c r="W301" s="3"/>
      <c r="Y301" s="3"/>
      <c r="AA301" s="3"/>
      <c r="AC301" s="3"/>
      <c r="AE301" s="3"/>
      <c r="AF301" s="8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</row>
    <row r="302" spans="1:64" s="4" customFormat="1">
      <c r="B302" s="3"/>
      <c r="C302" s="3"/>
      <c r="D302" s="3"/>
      <c r="E302" s="3"/>
      <c r="G302" s="3"/>
      <c r="I302" s="3"/>
      <c r="K302" s="3"/>
      <c r="M302" s="3"/>
      <c r="O302" s="3"/>
      <c r="Q302" s="3"/>
      <c r="S302" s="3"/>
      <c r="U302" s="3"/>
      <c r="W302" s="3"/>
      <c r="Y302" s="3"/>
      <c r="AA302" s="3"/>
      <c r="AC302" s="3"/>
      <c r="AE302" s="3"/>
      <c r="AF302" s="8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</row>
    <row r="303" spans="1:64">
      <c r="B303" s="54"/>
      <c r="C303" s="54"/>
      <c r="D303" s="54" t="s">
        <v>505</v>
      </c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5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</row>
  </sheetData>
  <sortState ref="A19:AF270">
    <sortCondition ref="B19:B270"/>
  </sortState>
  <phoneticPr fontId="2" type="noConversion"/>
  <printOptions horizontalCentered="1"/>
  <pageMargins left="0.75" right="0.75" top="0.5" bottom="0.5" header="0" footer="0.3"/>
  <pageSetup scale="80" firstPageNumber="16" fitToWidth="0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8" min="1" max="31" man="1"/>
    <brk id="163" min="1" max="31" man="1"/>
    <brk id="238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384"/>
  <sheetViews>
    <sheetView view="pageBreakPreview" topLeftCell="B226" zoomScale="70" zoomScaleNormal="100" zoomScaleSheetLayoutView="70" workbookViewId="0">
      <selection activeCell="AH236" sqref="AH236"/>
    </sheetView>
  </sheetViews>
  <sheetFormatPr defaultColWidth="9.140625" defaultRowHeight="12"/>
  <cols>
    <col min="1" max="1" width="0" style="3" hidden="1" customWidth="1"/>
    <col min="2" max="2" width="39.7109375" style="3" bestFit="1" customWidth="1"/>
    <col min="3" max="3" width="1.28515625" style="3" customWidth="1"/>
    <col min="4" max="4" width="10.42578125" style="3" customWidth="1"/>
    <col min="5" max="5" width="1.28515625" style="3" customWidth="1"/>
    <col min="6" max="6" width="11.140625" style="3" customWidth="1"/>
    <col min="7" max="7" width="1.28515625" style="3" customWidth="1"/>
    <col min="8" max="8" width="10.85546875" style="3" customWidth="1"/>
    <col min="9" max="9" width="1.28515625" style="3" customWidth="1"/>
    <col min="10" max="10" width="10.140625" style="3" customWidth="1"/>
    <col min="11" max="11" width="1.28515625" style="3" customWidth="1"/>
    <col min="12" max="12" width="10.140625" style="3" customWidth="1"/>
    <col min="13" max="13" width="1.28515625" style="3" customWidth="1"/>
    <col min="14" max="14" width="10.140625" style="3" customWidth="1"/>
    <col min="15" max="15" width="1.28515625" style="3" hidden="1" customWidth="1"/>
    <col min="16" max="16" width="10.140625" style="3" customWidth="1"/>
    <col min="17" max="17" width="1.28515625" style="3" customWidth="1"/>
    <col min="18" max="18" width="9.5703125" style="3" customWidth="1"/>
    <col min="19" max="19" width="1.28515625" style="3" customWidth="1"/>
    <col min="20" max="20" width="10.7109375" style="3" customWidth="1"/>
    <col min="21" max="21" width="1.28515625" style="3" customWidth="1"/>
    <col min="22" max="22" width="10.5703125" style="3" customWidth="1"/>
    <col min="23" max="23" width="1.28515625" style="3" customWidth="1"/>
    <col min="24" max="24" width="11" style="3" customWidth="1"/>
    <col min="25" max="25" width="1.28515625" style="3" customWidth="1"/>
    <col min="26" max="26" width="9.7109375" style="3" customWidth="1"/>
    <col min="27" max="27" width="1.28515625" style="3" customWidth="1"/>
    <col min="28" max="28" width="9.7109375" style="3" customWidth="1"/>
    <col min="29" max="29" width="1.28515625" style="3" customWidth="1"/>
    <col min="30" max="30" width="9.5703125" style="3" customWidth="1"/>
    <col min="31" max="31" width="1.28515625" style="3" customWidth="1"/>
    <col min="32" max="32" width="9.7109375" style="3" customWidth="1"/>
    <col min="33" max="33" width="1.28515625" style="3" customWidth="1"/>
    <col min="34" max="34" width="10.85546875" style="3" customWidth="1"/>
    <col min="35" max="16384" width="9.140625" style="3"/>
  </cols>
  <sheetData>
    <row r="1" spans="1:66">
      <c r="B1" s="3" t="s">
        <v>525</v>
      </c>
    </row>
    <row r="2" spans="1:66">
      <c r="B2" s="3" t="s">
        <v>527</v>
      </c>
    </row>
    <row r="3" spans="1:66" hidden="1">
      <c r="B3" s="41" t="s">
        <v>7</v>
      </c>
    </row>
    <row r="5" spans="1:66" s="36" customFormat="1">
      <c r="H5" s="36" t="s">
        <v>282</v>
      </c>
    </row>
    <row r="6" spans="1:66" s="36" customFormat="1">
      <c r="F6" s="36" t="s">
        <v>31</v>
      </c>
      <c r="H6" s="36" t="s">
        <v>283</v>
      </c>
      <c r="R6" s="36" t="s">
        <v>29</v>
      </c>
      <c r="T6" s="36" t="s">
        <v>289</v>
      </c>
      <c r="Z6" s="36" t="s">
        <v>294</v>
      </c>
      <c r="AF6" s="36" t="s">
        <v>0</v>
      </c>
    </row>
    <row r="7" spans="1:66" s="36" customFormat="1" ht="12" customHeight="1">
      <c r="F7" s="36" t="s">
        <v>0</v>
      </c>
      <c r="H7" s="36" t="s">
        <v>284</v>
      </c>
      <c r="J7" s="36" t="s">
        <v>558</v>
      </c>
      <c r="L7" s="36" t="s">
        <v>348</v>
      </c>
      <c r="P7" s="36" t="s">
        <v>286</v>
      </c>
      <c r="R7" s="36" t="s">
        <v>288</v>
      </c>
      <c r="T7" s="36" t="s">
        <v>290</v>
      </c>
      <c r="V7" s="36" t="s">
        <v>292</v>
      </c>
      <c r="Z7" s="36" t="s">
        <v>295</v>
      </c>
      <c r="AF7" s="36" t="s">
        <v>296</v>
      </c>
    </row>
    <row r="8" spans="1:66" s="36" customFormat="1" ht="12" customHeight="1">
      <c r="A8" s="36" t="s">
        <v>580</v>
      </c>
      <c r="B8" s="37"/>
      <c r="C8" s="48"/>
      <c r="D8" s="37" t="s">
        <v>6</v>
      </c>
      <c r="E8" s="48"/>
      <c r="F8" s="37" t="s">
        <v>281</v>
      </c>
      <c r="G8" s="48"/>
      <c r="H8" s="37" t="s">
        <v>285</v>
      </c>
      <c r="I8" s="48"/>
      <c r="J8" s="37" t="s">
        <v>559</v>
      </c>
      <c r="K8" s="48"/>
      <c r="L8" s="37" t="s">
        <v>349</v>
      </c>
      <c r="M8" s="48"/>
      <c r="N8" s="37" t="s">
        <v>560</v>
      </c>
      <c r="O8" s="48"/>
      <c r="P8" s="37" t="s">
        <v>287</v>
      </c>
      <c r="Q8" s="48"/>
      <c r="R8" s="37" t="s">
        <v>562</v>
      </c>
      <c r="S8" s="48"/>
      <c r="T8" s="37" t="s">
        <v>291</v>
      </c>
      <c r="U8" s="48"/>
      <c r="V8" s="37" t="s">
        <v>293</v>
      </c>
      <c r="W8" s="48"/>
      <c r="X8" s="37" t="s">
        <v>1</v>
      </c>
      <c r="Y8" s="48"/>
      <c r="Z8" s="37" t="s">
        <v>32</v>
      </c>
      <c r="AA8" s="48"/>
      <c r="AB8" s="37" t="s">
        <v>509</v>
      </c>
      <c r="AC8" s="48"/>
      <c r="AD8" s="37" t="s">
        <v>510</v>
      </c>
      <c r="AE8" s="48"/>
      <c r="AF8" s="37" t="s">
        <v>297</v>
      </c>
      <c r="AG8" s="48"/>
      <c r="AH8" s="49" t="s">
        <v>28</v>
      </c>
    </row>
    <row r="9" spans="1:66" s="28" customFormat="1" hidden="1">
      <c r="A9" s="4">
        <v>2</v>
      </c>
      <c r="B9" s="4" t="s">
        <v>435</v>
      </c>
      <c r="C9" s="4"/>
      <c r="D9" s="4" t="s">
        <v>97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SUM(F9:AF9)</f>
        <v>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7" customFormat="1" hidden="1">
      <c r="A10" s="4">
        <v>75</v>
      </c>
      <c r="B10" s="4" t="s">
        <v>436</v>
      </c>
      <c r="C10" s="4"/>
      <c r="D10" s="4" t="s">
        <v>92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f>SUM(F10:AF10)</f>
        <v>0</v>
      </c>
    </row>
    <row r="11" spans="1:66" s="4" customFormat="1" hidden="1">
      <c r="A11" s="4">
        <v>80</v>
      </c>
      <c r="B11" s="4" t="s">
        <v>267</v>
      </c>
      <c r="D11" s="4" t="s">
        <v>92</v>
      </c>
      <c r="AH11" s="4">
        <f>SUM(F11:AF11)</f>
        <v>0</v>
      </c>
    </row>
    <row r="12" spans="1:66" s="4" customFormat="1" hidden="1">
      <c r="A12" s="4">
        <v>117</v>
      </c>
      <c r="B12" s="4" t="s">
        <v>223</v>
      </c>
      <c r="D12" s="4" t="s">
        <v>170</v>
      </c>
      <c r="AH12" s="4">
        <f>SUM(F12:AF12)</f>
        <v>0</v>
      </c>
    </row>
    <row r="13" spans="1:66" s="4" customFormat="1" hidden="1">
      <c r="A13" s="4">
        <v>135</v>
      </c>
      <c r="B13" s="4" t="s">
        <v>442</v>
      </c>
      <c r="D13" s="4" t="s">
        <v>41</v>
      </c>
      <c r="AH13" s="4">
        <f>SUM(F13:AF13)</f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7" customFormat="1" hidden="1">
      <c r="A14" s="4">
        <v>152</v>
      </c>
      <c r="B14" s="4" t="s">
        <v>214</v>
      </c>
      <c r="C14" s="4"/>
      <c r="D14" s="4" t="s">
        <v>215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SUM(F14:AF14)</f>
        <v>0</v>
      </c>
    </row>
    <row r="15" spans="1:66" s="4" customFormat="1" hidden="1">
      <c r="A15" s="4">
        <v>180</v>
      </c>
      <c r="B15" s="4" t="s">
        <v>253</v>
      </c>
      <c r="D15" s="4" t="s">
        <v>106</v>
      </c>
      <c r="AH15" s="4">
        <f>SUM(F15:AF15)</f>
        <v>0</v>
      </c>
    </row>
    <row r="16" spans="1:66" s="4" customFormat="1" hidden="1">
      <c r="A16" s="4">
        <v>185</v>
      </c>
      <c r="B16" s="4" t="s">
        <v>230</v>
      </c>
      <c r="D16" s="4" t="s">
        <v>229</v>
      </c>
      <c r="AH16" s="4">
        <f>SUM(F16:AF16)</f>
        <v>0</v>
      </c>
    </row>
    <row r="17" spans="1:66" s="4" customFormat="1" hidden="1">
      <c r="A17" s="4">
        <v>189</v>
      </c>
      <c r="B17" s="4" t="s">
        <v>450</v>
      </c>
      <c r="D17" s="4" t="s">
        <v>236</v>
      </c>
      <c r="AH17" s="4">
        <f>SUM(F17:AF17)</f>
        <v>0</v>
      </c>
    </row>
    <row r="18" spans="1:66" s="4" customFormat="1" hidden="1">
      <c r="A18" s="4">
        <v>233</v>
      </c>
      <c r="B18" s="4" t="s">
        <v>35</v>
      </c>
      <c r="D18" s="4" t="s">
        <v>26</v>
      </c>
      <c r="AH18" s="4">
        <f>SUM(F18:AF18)</f>
        <v>0</v>
      </c>
    </row>
    <row r="19" spans="1:66" s="14" customFormat="1" hidden="1">
      <c r="A19" s="4">
        <v>234</v>
      </c>
      <c r="B19" s="4" t="s">
        <v>201</v>
      </c>
      <c r="C19" s="4"/>
      <c r="D19" s="4" t="s">
        <v>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SUM(F19:AF19)</f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6" s="7" customFormat="1">
      <c r="A20" s="7">
        <v>95</v>
      </c>
      <c r="B20" s="7" t="s">
        <v>73</v>
      </c>
      <c r="D20" s="7" t="s">
        <v>61</v>
      </c>
      <c r="F20" s="7">
        <v>0</v>
      </c>
      <c r="H20" s="7">
        <v>287904</v>
      </c>
      <c r="J20" s="7">
        <v>0</v>
      </c>
      <c r="L20" s="7">
        <v>0</v>
      </c>
      <c r="N20" s="7">
        <v>0</v>
      </c>
      <c r="P20" s="7">
        <v>6779</v>
      </c>
      <c r="R20" s="7">
        <v>0</v>
      </c>
      <c r="T20" s="7">
        <v>3722</v>
      </c>
      <c r="V20" s="7">
        <v>70607</v>
      </c>
      <c r="X20" s="7">
        <v>38</v>
      </c>
      <c r="Z20" s="7">
        <v>105</v>
      </c>
      <c r="AB20" s="7">
        <v>0</v>
      </c>
      <c r="AD20" s="7">
        <v>0</v>
      </c>
      <c r="AF20" s="7">
        <v>0</v>
      </c>
      <c r="AH20" s="7">
        <f>SUM(F20:AF20)</f>
        <v>369155</v>
      </c>
    </row>
    <row r="21" spans="1:66" s="4" customFormat="1">
      <c r="A21" s="4">
        <v>1</v>
      </c>
      <c r="B21" s="4" t="s">
        <v>74</v>
      </c>
      <c r="D21" s="4" t="s">
        <v>40</v>
      </c>
      <c r="F21" s="4">
        <v>0</v>
      </c>
      <c r="H21" s="4">
        <v>981366</v>
      </c>
      <c r="J21" s="4">
        <v>0</v>
      </c>
      <c r="L21" s="4">
        <v>0</v>
      </c>
      <c r="N21" s="4">
        <v>0</v>
      </c>
      <c r="P21" s="4">
        <v>36411</v>
      </c>
      <c r="R21" s="4">
        <v>0</v>
      </c>
      <c r="T21" s="4">
        <v>815</v>
      </c>
      <c r="V21" s="4">
        <v>52010</v>
      </c>
      <c r="X21" s="4">
        <v>803</v>
      </c>
      <c r="Z21" s="4">
        <v>0</v>
      </c>
      <c r="AB21" s="4">
        <v>0</v>
      </c>
      <c r="AD21" s="4">
        <v>0</v>
      </c>
      <c r="AF21" s="4">
        <v>0</v>
      </c>
      <c r="AH21" s="4">
        <f>SUM(F21:AF21)</f>
        <v>1071405</v>
      </c>
    </row>
    <row r="22" spans="1:66" s="4" customFormat="1">
      <c r="A22" s="4">
        <v>216</v>
      </c>
      <c r="B22" s="45" t="s">
        <v>434</v>
      </c>
      <c r="C22" s="45"/>
      <c r="D22" s="45" t="s">
        <v>22</v>
      </c>
      <c r="E22" s="45"/>
      <c r="F22" s="4">
        <v>14515709</v>
      </c>
      <c r="G22" s="15"/>
      <c r="H22" s="4">
        <v>14171624</v>
      </c>
      <c r="I22" s="15"/>
      <c r="J22" s="4">
        <v>0</v>
      </c>
      <c r="K22" s="15"/>
      <c r="L22" s="4">
        <v>2680813</v>
      </c>
      <c r="M22" s="15"/>
      <c r="N22" s="4">
        <v>0</v>
      </c>
      <c r="O22" s="15"/>
      <c r="P22" s="4">
        <v>584274</v>
      </c>
      <c r="Q22" s="15"/>
      <c r="R22" s="4">
        <v>0</v>
      </c>
      <c r="S22" s="15"/>
      <c r="T22" s="4">
        <v>45042</v>
      </c>
      <c r="U22" s="15"/>
      <c r="V22" s="4">
        <v>347685</v>
      </c>
      <c r="W22" s="15"/>
      <c r="X22" s="4">
        <v>733806</v>
      </c>
      <c r="Y22" s="15"/>
      <c r="Z22" s="4">
        <v>0</v>
      </c>
      <c r="AA22" s="15"/>
      <c r="AB22" s="4">
        <v>700000</v>
      </c>
      <c r="AC22" s="15"/>
      <c r="AD22" s="4">
        <v>0</v>
      </c>
      <c r="AE22" s="15"/>
      <c r="AF22" s="4">
        <v>0</v>
      </c>
      <c r="AG22" s="15"/>
      <c r="AH22" s="4">
        <f>SUM(F22:AF22)</f>
        <v>33778953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4" customFormat="1">
      <c r="A23" s="4">
        <v>131</v>
      </c>
      <c r="B23" s="4" t="s">
        <v>511</v>
      </c>
      <c r="D23" s="4" t="s">
        <v>41</v>
      </c>
      <c r="F23" s="4">
        <v>0</v>
      </c>
      <c r="H23" s="4">
        <v>308742</v>
      </c>
      <c r="J23" s="4">
        <v>0</v>
      </c>
      <c r="L23" s="4">
        <v>4484</v>
      </c>
      <c r="N23" s="4">
        <v>0</v>
      </c>
      <c r="P23" s="4">
        <v>6289</v>
      </c>
      <c r="R23" s="4">
        <v>0</v>
      </c>
      <c r="T23" s="4">
        <v>777</v>
      </c>
      <c r="V23" s="4">
        <v>15924</v>
      </c>
      <c r="X23" s="4">
        <v>219</v>
      </c>
      <c r="Z23" s="4">
        <v>374</v>
      </c>
      <c r="AB23" s="4">
        <v>0</v>
      </c>
      <c r="AD23" s="4">
        <v>0</v>
      </c>
      <c r="AF23" s="4">
        <v>0</v>
      </c>
      <c r="AH23" s="4">
        <f>SUM(F23:AF23)</f>
        <v>336809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4" customFormat="1">
      <c r="A24" s="4">
        <v>96</v>
      </c>
      <c r="B24" s="4" t="s">
        <v>75</v>
      </c>
      <c r="D24" s="4" t="s">
        <v>61</v>
      </c>
      <c r="F24" s="4">
        <v>0</v>
      </c>
      <c r="H24" s="4">
        <v>63268</v>
      </c>
      <c r="J24" s="4">
        <v>0</v>
      </c>
      <c r="L24" s="4">
        <v>0</v>
      </c>
      <c r="N24" s="4">
        <v>0</v>
      </c>
      <c r="P24" s="4">
        <v>1705</v>
      </c>
      <c r="R24" s="4">
        <v>0</v>
      </c>
      <c r="T24" s="4">
        <v>946</v>
      </c>
      <c r="V24" s="4">
        <v>32519</v>
      </c>
      <c r="X24" s="4">
        <v>10111</v>
      </c>
      <c r="Z24" s="4">
        <v>0</v>
      </c>
      <c r="AB24" s="4">
        <v>0</v>
      </c>
      <c r="AD24" s="4">
        <v>0</v>
      </c>
      <c r="AF24" s="4">
        <v>0</v>
      </c>
      <c r="AH24" s="4">
        <f>SUM(F24:AF24)</f>
        <v>108549</v>
      </c>
    </row>
    <row r="25" spans="1:66" s="4" customFormat="1">
      <c r="A25" s="4">
        <v>140</v>
      </c>
      <c r="B25" s="4" t="s">
        <v>451</v>
      </c>
      <c r="D25" s="4" t="s">
        <v>57</v>
      </c>
      <c r="F25" s="4">
        <v>295377</v>
      </c>
      <c r="H25" s="4">
        <v>853129</v>
      </c>
      <c r="J25" s="4">
        <v>0</v>
      </c>
      <c r="L25" s="4">
        <v>45704</v>
      </c>
      <c r="N25" s="4">
        <v>0</v>
      </c>
      <c r="P25" s="4">
        <v>33571</v>
      </c>
      <c r="R25" s="4">
        <v>0</v>
      </c>
      <c r="T25" s="4">
        <v>4470</v>
      </c>
      <c r="V25" s="4">
        <v>59652</v>
      </c>
      <c r="X25" s="4">
        <v>3355</v>
      </c>
      <c r="Z25" s="4">
        <v>0</v>
      </c>
      <c r="AB25" s="4">
        <v>0</v>
      </c>
      <c r="AD25" s="4">
        <v>0</v>
      </c>
      <c r="AF25" s="4">
        <v>0</v>
      </c>
      <c r="AH25" s="4">
        <f>SUM(F25:AF25)</f>
        <v>1295258</v>
      </c>
    </row>
    <row r="26" spans="1:66" s="4" customFormat="1">
      <c r="A26" s="4">
        <v>208</v>
      </c>
      <c r="B26" s="4" t="s">
        <v>77</v>
      </c>
      <c r="D26" s="4" t="s">
        <v>78</v>
      </c>
      <c r="F26" s="4">
        <v>0</v>
      </c>
      <c r="H26" s="4">
        <v>1752499</v>
      </c>
      <c r="J26" s="4">
        <v>0</v>
      </c>
      <c r="L26" s="4">
        <v>0</v>
      </c>
      <c r="N26" s="4">
        <v>0</v>
      </c>
      <c r="P26" s="4">
        <v>37106</v>
      </c>
      <c r="R26" s="4">
        <v>0</v>
      </c>
      <c r="T26" s="4">
        <v>11707</v>
      </c>
      <c r="V26" s="4">
        <v>157261</v>
      </c>
      <c r="X26" s="4">
        <v>14436</v>
      </c>
      <c r="Z26" s="4">
        <v>0</v>
      </c>
      <c r="AB26" s="4">
        <v>46166</v>
      </c>
      <c r="AD26" s="4">
        <v>0</v>
      </c>
      <c r="AF26" s="4">
        <v>0</v>
      </c>
      <c r="AH26" s="4">
        <f>SUM(F26:AF26)</f>
        <v>2019175</v>
      </c>
    </row>
    <row r="27" spans="1:66" s="4" customFormat="1">
      <c r="A27" s="4">
        <v>8</v>
      </c>
      <c r="B27" s="4" t="s">
        <v>79</v>
      </c>
      <c r="D27" s="4" t="s">
        <v>43</v>
      </c>
      <c r="F27" s="4">
        <v>268637</v>
      </c>
      <c r="H27" s="4">
        <v>0</v>
      </c>
      <c r="J27" s="4">
        <v>0</v>
      </c>
      <c r="L27" s="4">
        <v>0</v>
      </c>
      <c r="N27" s="4">
        <v>0</v>
      </c>
      <c r="P27" s="4">
        <v>10628</v>
      </c>
      <c r="R27" s="4">
        <v>0</v>
      </c>
      <c r="T27" s="4">
        <v>21366</v>
      </c>
      <c r="V27" s="4">
        <v>6183</v>
      </c>
      <c r="X27" s="4">
        <v>94318</v>
      </c>
      <c r="Z27" s="4">
        <v>0</v>
      </c>
      <c r="AB27" s="4">
        <v>11425</v>
      </c>
      <c r="AD27" s="4">
        <v>0</v>
      </c>
      <c r="AF27" s="4">
        <v>0</v>
      </c>
      <c r="AH27" s="4">
        <f>SUM(F27:AF27)</f>
        <v>412557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4" customFormat="1">
      <c r="A28" s="4">
        <v>58</v>
      </c>
      <c r="B28" s="4" t="s">
        <v>80</v>
      </c>
      <c r="D28" s="4" t="s">
        <v>81</v>
      </c>
      <c r="F28" s="4">
        <v>0</v>
      </c>
      <c r="H28" s="4">
        <v>299526</v>
      </c>
      <c r="J28" s="4">
        <v>0</v>
      </c>
      <c r="L28" s="4">
        <v>0</v>
      </c>
      <c r="N28" s="4">
        <v>0</v>
      </c>
      <c r="P28" s="4">
        <v>7731</v>
      </c>
      <c r="R28" s="4">
        <v>0</v>
      </c>
      <c r="T28" s="4">
        <v>10235</v>
      </c>
      <c r="V28" s="4">
        <v>12481</v>
      </c>
      <c r="X28" s="4">
        <v>44</v>
      </c>
      <c r="Z28" s="4">
        <v>0</v>
      </c>
      <c r="AB28" s="4">
        <v>0</v>
      </c>
      <c r="AD28" s="4">
        <v>0</v>
      </c>
      <c r="AF28" s="4">
        <v>0</v>
      </c>
      <c r="AH28" s="4">
        <f>SUM(F28:AF28)</f>
        <v>330017</v>
      </c>
    </row>
    <row r="29" spans="1:66" s="4" customFormat="1">
      <c r="A29" s="4">
        <v>82</v>
      </c>
      <c r="B29" s="4" t="s">
        <v>298</v>
      </c>
      <c r="D29" s="4" t="s">
        <v>42</v>
      </c>
      <c r="F29" s="4">
        <v>82365</v>
      </c>
      <c r="H29" s="4">
        <v>270828</v>
      </c>
      <c r="J29" s="4">
        <v>0</v>
      </c>
      <c r="L29" s="4">
        <v>29025</v>
      </c>
      <c r="N29" s="4">
        <v>0</v>
      </c>
      <c r="P29" s="4">
        <v>13564</v>
      </c>
      <c r="R29" s="4">
        <v>0</v>
      </c>
      <c r="T29" s="4">
        <v>3041</v>
      </c>
      <c r="V29" s="4">
        <v>15402</v>
      </c>
      <c r="X29" s="4">
        <v>5851</v>
      </c>
      <c r="Z29" s="4">
        <v>0</v>
      </c>
      <c r="AB29" s="4">
        <v>0</v>
      </c>
      <c r="AD29" s="4">
        <v>0</v>
      </c>
      <c r="AF29" s="4">
        <v>0</v>
      </c>
      <c r="AH29" s="4">
        <f>SUM(F29:AF29)</f>
        <v>420076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" customFormat="1">
      <c r="A30" s="4">
        <v>6</v>
      </c>
      <c r="B30" s="4" t="s">
        <v>82</v>
      </c>
      <c r="D30" s="4" t="s">
        <v>83</v>
      </c>
      <c r="F30" s="4">
        <v>2718</v>
      </c>
      <c r="H30" s="4">
        <v>1235195</v>
      </c>
      <c r="J30" s="4">
        <v>0</v>
      </c>
      <c r="L30" s="4">
        <v>0</v>
      </c>
      <c r="N30" s="4">
        <v>0</v>
      </c>
      <c r="P30" s="4">
        <v>54195</v>
      </c>
      <c r="R30" s="4">
        <v>0</v>
      </c>
      <c r="T30" s="4">
        <v>3757</v>
      </c>
      <c r="V30" s="4">
        <v>64413</v>
      </c>
      <c r="X30" s="4">
        <v>5698</v>
      </c>
      <c r="Z30" s="4">
        <v>0</v>
      </c>
      <c r="AB30" s="4">
        <v>0</v>
      </c>
      <c r="AD30" s="4">
        <v>0</v>
      </c>
      <c r="AF30" s="4">
        <v>0</v>
      </c>
      <c r="AH30" s="4">
        <f>SUM(F30:AF30)</f>
        <v>1365976</v>
      </c>
    </row>
    <row r="31" spans="1:66" s="4" customFormat="1">
      <c r="A31" s="4">
        <v>9</v>
      </c>
      <c r="B31" s="4" t="s">
        <v>335</v>
      </c>
      <c r="D31" s="4" t="s">
        <v>43</v>
      </c>
      <c r="F31" s="4">
        <v>1550290</v>
      </c>
      <c r="H31" s="4">
        <v>0</v>
      </c>
      <c r="J31" s="4">
        <v>0</v>
      </c>
      <c r="L31" s="4">
        <v>0</v>
      </c>
      <c r="N31" s="4">
        <v>0</v>
      </c>
      <c r="P31" s="4">
        <v>38918</v>
      </c>
      <c r="R31" s="4">
        <v>0</v>
      </c>
      <c r="T31" s="4">
        <v>15922</v>
      </c>
      <c r="V31" s="4">
        <v>72625</v>
      </c>
      <c r="X31" s="4">
        <v>10244</v>
      </c>
      <c r="Z31" s="4">
        <v>0</v>
      </c>
      <c r="AB31" s="4">
        <v>16290</v>
      </c>
      <c r="AD31" s="4">
        <v>0</v>
      </c>
      <c r="AF31" s="4">
        <v>0</v>
      </c>
      <c r="AH31" s="4">
        <f>SUM(F31:AF31)</f>
        <v>1704289</v>
      </c>
    </row>
    <row r="32" spans="1:66" s="4" customFormat="1">
      <c r="A32" s="4">
        <v>17</v>
      </c>
      <c r="B32" s="4" t="s">
        <v>595</v>
      </c>
      <c r="D32" s="4" t="s">
        <v>44</v>
      </c>
      <c r="F32" s="4">
        <v>0</v>
      </c>
      <c r="H32" s="4">
        <v>1221976</v>
      </c>
      <c r="J32" s="4">
        <v>0</v>
      </c>
      <c r="L32" s="4">
        <v>0</v>
      </c>
      <c r="N32" s="4">
        <v>0</v>
      </c>
      <c r="P32" s="4">
        <v>20373</v>
      </c>
      <c r="R32" s="4">
        <v>0</v>
      </c>
      <c r="T32" s="4">
        <v>29904</v>
      </c>
      <c r="V32" s="4">
        <v>32269</v>
      </c>
      <c r="X32" s="4">
        <v>11920</v>
      </c>
      <c r="Z32" s="4">
        <v>0</v>
      </c>
      <c r="AB32" s="4">
        <v>22500</v>
      </c>
      <c r="AD32" s="4">
        <v>0</v>
      </c>
      <c r="AF32" s="4">
        <v>0</v>
      </c>
      <c r="AH32" s="4">
        <f>SUM(F32:AF32)</f>
        <v>1338942</v>
      </c>
    </row>
    <row r="33" spans="1:66" s="4" customFormat="1">
      <c r="A33" s="4">
        <v>141</v>
      </c>
      <c r="B33" s="4" t="s">
        <v>84</v>
      </c>
      <c r="D33" s="4" t="s">
        <v>57</v>
      </c>
      <c r="F33" s="4">
        <v>1459633</v>
      </c>
      <c r="H33" s="4">
        <v>0</v>
      </c>
      <c r="J33" s="4">
        <v>0</v>
      </c>
      <c r="L33" s="4">
        <v>803892</v>
      </c>
      <c r="N33" s="4">
        <v>0</v>
      </c>
      <c r="P33" s="4">
        <v>58371</v>
      </c>
      <c r="R33" s="4">
        <v>0</v>
      </c>
      <c r="T33" s="4">
        <v>661</v>
      </c>
      <c r="V33" s="4">
        <v>16923</v>
      </c>
      <c r="X33" s="4">
        <v>20916</v>
      </c>
      <c r="Z33" s="4">
        <v>0</v>
      </c>
      <c r="AB33" s="4">
        <v>0</v>
      </c>
      <c r="AD33" s="4">
        <v>0</v>
      </c>
      <c r="AF33" s="4">
        <v>0</v>
      </c>
      <c r="AH33" s="4">
        <f>SUM(F33:AF33)</f>
        <v>2360396</v>
      </c>
    </row>
    <row r="34" spans="1:66" s="4" customFormat="1">
      <c r="A34" s="4">
        <v>217</v>
      </c>
      <c r="B34" s="4" t="s">
        <v>452</v>
      </c>
      <c r="D34" s="4" t="s">
        <v>22</v>
      </c>
      <c r="F34" s="4">
        <v>444413</v>
      </c>
      <c r="H34" s="4">
        <v>1045583</v>
      </c>
      <c r="J34" s="4">
        <v>0</v>
      </c>
      <c r="L34" s="4">
        <v>90811</v>
      </c>
      <c r="N34" s="4">
        <v>0</v>
      </c>
      <c r="P34" s="4">
        <v>25517</v>
      </c>
      <c r="R34" s="4">
        <v>0</v>
      </c>
      <c r="T34" s="4">
        <v>19377</v>
      </c>
      <c r="V34" s="4">
        <v>31495</v>
      </c>
      <c r="X34" s="4">
        <v>4139</v>
      </c>
      <c r="Z34" s="4">
        <v>0</v>
      </c>
      <c r="AB34" s="4">
        <v>107811</v>
      </c>
      <c r="AD34" s="4">
        <v>0</v>
      </c>
      <c r="AF34" s="4">
        <v>0</v>
      </c>
      <c r="AH34" s="4">
        <f>SUM(F34:AF34)</f>
        <v>1769146</v>
      </c>
    </row>
    <row r="35" spans="1:66" s="4" customFormat="1" ht="12.75" customHeight="1">
      <c r="A35" s="4">
        <v>19</v>
      </c>
      <c r="B35" s="4" t="s">
        <v>21</v>
      </c>
      <c r="D35" s="4" t="s">
        <v>13</v>
      </c>
      <c r="F35" s="4">
        <v>0</v>
      </c>
      <c r="H35" s="4">
        <v>0</v>
      </c>
      <c r="J35" s="4">
        <v>0</v>
      </c>
      <c r="L35" s="4">
        <v>505365</v>
      </c>
      <c r="N35" s="4">
        <v>0</v>
      </c>
      <c r="P35" s="4">
        <v>17714</v>
      </c>
      <c r="R35" s="4">
        <v>0</v>
      </c>
      <c r="T35" s="4">
        <v>14068</v>
      </c>
      <c r="V35" s="4">
        <v>24987</v>
      </c>
      <c r="X35" s="4">
        <v>188</v>
      </c>
      <c r="Z35" s="4">
        <v>0</v>
      </c>
      <c r="AB35" s="4">
        <v>25000</v>
      </c>
      <c r="AD35" s="4">
        <v>0</v>
      </c>
      <c r="AF35" s="4">
        <v>0</v>
      </c>
      <c r="AH35" s="4">
        <f>SUM(F35:AF35)</f>
        <v>587322</v>
      </c>
    </row>
    <row r="36" spans="1:66" s="4" customFormat="1">
      <c r="A36" s="4">
        <v>20</v>
      </c>
      <c r="B36" s="4" t="s">
        <v>85</v>
      </c>
      <c r="D36" s="4" t="s">
        <v>13</v>
      </c>
      <c r="F36" s="4">
        <v>0</v>
      </c>
      <c r="H36" s="4">
        <v>505365</v>
      </c>
      <c r="J36" s="4">
        <v>0</v>
      </c>
      <c r="L36" s="4">
        <v>0</v>
      </c>
      <c r="N36" s="4">
        <v>0</v>
      </c>
      <c r="P36" s="4">
        <v>9823</v>
      </c>
      <c r="R36" s="4">
        <v>0</v>
      </c>
      <c r="T36" s="4">
        <v>2066</v>
      </c>
      <c r="V36" s="4">
        <v>29747</v>
      </c>
      <c r="X36" s="4">
        <v>44</v>
      </c>
      <c r="Z36" s="4">
        <v>0</v>
      </c>
      <c r="AB36" s="4">
        <v>0</v>
      </c>
      <c r="AD36" s="4">
        <v>0</v>
      </c>
      <c r="AF36" s="4">
        <v>0</v>
      </c>
      <c r="AH36" s="4">
        <f>SUM(F36:AF36)</f>
        <v>547045</v>
      </c>
    </row>
    <row r="37" spans="1:66" s="4" customFormat="1">
      <c r="A37" s="4">
        <v>137</v>
      </c>
      <c r="B37" s="4" t="s">
        <v>86</v>
      </c>
      <c r="D37" s="4" t="s">
        <v>87</v>
      </c>
      <c r="F37" s="4">
        <v>0</v>
      </c>
      <c r="H37" s="4">
        <v>82494</v>
      </c>
      <c r="J37" s="4">
        <v>0</v>
      </c>
      <c r="L37" s="4">
        <v>0</v>
      </c>
      <c r="N37" s="4">
        <v>0</v>
      </c>
      <c r="P37" s="4">
        <v>3170</v>
      </c>
      <c r="R37" s="4">
        <v>0</v>
      </c>
      <c r="T37" s="4">
        <v>330</v>
      </c>
      <c r="V37" s="4">
        <v>7968</v>
      </c>
      <c r="X37" s="4">
        <v>9298</v>
      </c>
      <c r="Z37" s="4">
        <v>0</v>
      </c>
      <c r="AB37" s="4">
        <v>0</v>
      </c>
      <c r="AD37" s="4">
        <v>0</v>
      </c>
      <c r="AF37" s="4">
        <v>0</v>
      </c>
      <c r="AH37" s="4">
        <f>SUM(F37:AF37)</f>
        <v>103260</v>
      </c>
    </row>
    <row r="38" spans="1:66" s="4" customFormat="1">
      <c r="A38" s="4">
        <v>110</v>
      </c>
      <c r="B38" s="4" t="s">
        <v>88</v>
      </c>
      <c r="D38" s="4" t="s">
        <v>89</v>
      </c>
      <c r="F38" s="4">
        <v>252304</v>
      </c>
      <c r="H38" s="4">
        <v>0</v>
      </c>
      <c r="J38" s="4">
        <v>28658</v>
      </c>
      <c r="L38" s="4">
        <v>684675</v>
      </c>
      <c r="N38" s="4">
        <v>0</v>
      </c>
      <c r="P38" s="4">
        <v>28995</v>
      </c>
      <c r="R38" s="4">
        <v>0</v>
      </c>
      <c r="T38" s="4">
        <v>29510</v>
      </c>
      <c r="V38" s="4">
        <v>23748</v>
      </c>
      <c r="X38" s="4">
        <v>4978</v>
      </c>
      <c r="Z38" s="4">
        <v>0</v>
      </c>
      <c r="AB38" s="4">
        <v>63000</v>
      </c>
      <c r="AD38" s="4">
        <v>0</v>
      </c>
      <c r="AF38" s="4">
        <v>0</v>
      </c>
      <c r="AH38" s="4">
        <f>SUM(F38:AF38)</f>
        <v>1115868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4" customFormat="1">
      <c r="A39" s="4">
        <v>203</v>
      </c>
      <c r="B39" s="4" t="s">
        <v>90</v>
      </c>
      <c r="D39" s="4" t="s">
        <v>45</v>
      </c>
      <c r="F39" s="4">
        <v>9356</v>
      </c>
      <c r="H39" s="4">
        <v>139559</v>
      </c>
      <c r="J39" s="4">
        <v>0</v>
      </c>
      <c r="L39" s="4">
        <v>0</v>
      </c>
      <c r="N39" s="4">
        <v>0</v>
      </c>
      <c r="P39" s="4">
        <v>4797</v>
      </c>
      <c r="R39" s="4">
        <v>0</v>
      </c>
      <c r="T39" s="4">
        <v>480</v>
      </c>
      <c r="V39" s="4">
        <v>9787</v>
      </c>
      <c r="X39" s="4">
        <v>0</v>
      </c>
      <c r="Z39" s="4">
        <v>0</v>
      </c>
      <c r="AB39" s="4">
        <v>22500</v>
      </c>
      <c r="AD39" s="4">
        <v>0</v>
      </c>
      <c r="AF39" s="4">
        <v>0</v>
      </c>
      <c r="AH39" s="4">
        <f>SUM(F39:AF39)</f>
        <v>186479</v>
      </c>
    </row>
    <row r="40" spans="1:66" s="4" customFormat="1">
      <c r="A40" s="4">
        <v>74</v>
      </c>
      <c r="B40" s="4" t="s">
        <v>91</v>
      </c>
      <c r="D40" s="4" t="s">
        <v>92</v>
      </c>
      <c r="F40" s="4">
        <v>0</v>
      </c>
      <c r="H40" s="4">
        <v>1856026</v>
      </c>
      <c r="J40" s="4">
        <v>0</v>
      </c>
      <c r="L40" s="4">
        <v>0</v>
      </c>
      <c r="N40" s="4">
        <v>0</v>
      </c>
      <c r="P40" s="4">
        <v>68722</v>
      </c>
      <c r="R40" s="4">
        <v>0</v>
      </c>
      <c r="T40" s="4">
        <v>15390</v>
      </c>
      <c r="V40" s="4">
        <v>40030</v>
      </c>
      <c r="X40" s="4">
        <v>10730</v>
      </c>
      <c r="Z40" s="4">
        <v>0</v>
      </c>
      <c r="AB40" s="4">
        <v>0</v>
      </c>
      <c r="AD40" s="4">
        <v>0</v>
      </c>
      <c r="AF40" s="4">
        <v>0</v>
      </c>
      <c r="AH40" s="4">
        <f>SUM(F40:AF40)</f>
        <v>1990898</v>
      </c>
    </row>
    <row r="41" spans="1:66" s="4" customFormat="1">
      <c r="A41" s="4">
        <v>200</v>
      </c>
      <c r="B41" s="4" t="s">
        <v>93</v>
      </c>
      <c r="D41" s="4" t="s">
        <v>94</v>
      </c>
      <c r="F41" s="4">
        <v>0</v>
      </c>
      <c r="H41" s="4">
        <v>0</v>
      </c>
      <c r="J41" s="4">
        <v>0</v>
      </c>
      <c r="L41" s="4">
        <v>1722775</v>
      </c>
      <c r="N41" s="4">
        <v>0</v>
      </c>
      <c r="P41" s="4">
        <v>33151</v>
      </c>
      <c r="R41" s="4">
        <v>0</v>
      </c>
      <c r="T41" s="4">
        <v>16535</v>
      </c>
      <c r="V41" s="4">
        <v>163928</v>
      </c>
      <c r="X41" s="4">
        <v>10409</v>
      </c>
      <c r="Z41" s="4">
        <v>0</v>
      </c>
      <c r="AB41" s="4">
        <v>0</v>
      </c>
      <c r="AD41" s="4">
        <v>0</v>
      </c>
      <c r="AF41" s="4">
        <v>0</v>
      </c>
      <c r="AH41" s="4">
        <f>SUM(F41:AF41)</f>
        <v>1946798</v>
      </c>
    </row>
    <row r="42" spans="1:66" s="4" customFormat="1">
      <c r="A42" s="4">
        <v>35</v>
      </c>
      <c r="B42" s="4" t="s">
        <v>95</v>
      </c>
      <c r="D42" s="4" t="s">
        <v>69</v>
      </c>
      <c r="F42" s="4">
        <v>126734</v>
      </c>
      <c r="H42" s="4">
        <v>490478</v>
      </c>
      <c r="J42" s="4">
        <v>0</v>
      </c>
      <c r="L42" s="4">
        <v>0</v>
      </c>
      <c r="N42" s="4">
        <v>0</v>
      </c>
      <c r="P42" s="4">
        <v>10879</v>
      </c>
      <c r="R42" s="4">
        <v>0</v>
      </c>
      <c r="T42" s="4">
        <v>1725</v>
      </c>
      <c r="V42" s="4">
        <v>4248</v>
      </c>
      <c r="X42" s="4">
        <v>1543</v>
      </c>
      <c r="Z42" s="4">
        <v>0</v>
      </c>
      <c r="AB42" s="4">
        <v>0</v>
      </c>
      <c r="AD42" s="4">
        <v>0</v>
      </c>
      <c r="AF42" s="4">
        <v>0</v>
      </c>
      <c r="AH42" s="4">
        <f>SUM(F42:AF42)</f>
        <v>635607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14" customFormat="1">
      <c r="A43" s="4">
        <v>204</v>
      </c>
      <c r="B43" s="4" t="s">
        <v>96</v>
      </c>
      <c r="C43" s="4"/>
      <c r="D43" s="4" t="s">
        <v>45</v>
      </c>
      <c r="E43" s="4"/>
      <c r="F43" s="4">
        <v>0</v>
      </c>
      <c r="G43" s="4"/>
      <c r="H43" s="4">
        <v>0</v>
      </c>
      <c r="I43" s="4"/>
      <c r="J43" s="4">
        <v>0</v>
      </c>
      <c r="K43" s="4"/>
      <c r="L43" s="4">
        <v>153423</v>
      </c>
      <c r="M43" s="4"/>
      <c r="N43" s="4">
        <v>0</v>
      </c>
      <c r="O43" s="4"/>
      <c r="P43" s="4">
        <v>2512</v>
      </c>
      <c r="Q43" s="4"/>
      <c r="R43" s="4">
        <v>0</v>
      </c>
      <c r="S43" s="4"/>
      <c r="T43" s="4">
        <v>1937</v>
      </c>
      <c r="U43" s="4"/>
      <c r="V43" s="4">
        <v>1769</v>
      </c>
      <c r="W43" s="4"/>
      <c r="X43" s="4">
        <v>322</v>
      </c>
      <c r="Y43" s="4"/>
      <c r="Z43" s="4">
        <v>0</v>
      </c>
      <c r="AA43" s="4"/>
      <c r="AB43" s="4">
        <v>21491</v>
      </c>
      <c r="AC43" s="4"/>
      <c r="AD43" s="4">
        <v>0</v>
      </c>
      <c r="AE43" s="4"/>
      <c r="AF43" s="4">
        <v>0</v>
      </c>
      <c r="AG43" s="4"/>
      <c r="AH43" s="4">
        <f>SUM(F43:AF43)</f>
        <v>181454</v>
      </c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6" s="4" customFormat="1">
      <c r="A44" s="4">
        <v>3</v>
      </c>
      <c r="B44" s="4" t="s">
        <v>300</v>
      </c>
      <c r="D44" s="4" t="s">
        <v>97</v>
      </c>
      <c r="F44" s="4">
        <v>101296</v>
      </c>
      <c r="H44" s="4">
        <v>277886</v>
      </c>
      <c r="J44" s="4">
        <v>0</v>
      </c>
      <c r="L44" s="4">
        <v>23025</v>
      </c>
      <c r="N44" s="4">
        <v>0</v>
      </c>
      <c r="P44" s="4">
        <v>8323</v>
      </c>
      <c r="R44" s="4">
        <v>0</v>
      </c>
      <c r="T44" s="4">
        <v>1234</v>
      </c>
      <c r="V44" s="4">
        <v>11357</v>
      </c>
      <c r="X44" s="4">
        <v>2248</v>
      </c>
      <c r="Z44" s="4">
        <v>0</v>
      </c>
      <c r="AB44" s="4">
        <v>0</v>
      </c>
      <c r="AD44" s="4">
        <v>0</v>
      </c>
      <c r="AF44" s="4">
        <v>0</v>
      </c>
      <c r="AH44" s="4">
        <f>SUM(F44:AF44)</f>
        <v>425369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4" customFormat="1">
      <c r="A45" s="4">
        <v>101</v>
      </c>
      <c r="B45" s="4" t="s">
        <v>98</v>
      </c>
      <c r="D45" s="4" t="s">
        <v>46</v>
      </c>
      <c r="F45" s="4">
        <v>0</v>
      </c>
      <c r="H45" s="4">
        <v>225347</v>
      </c>
      <c r="J45" s="4">
        <v>0</v>
      </c>
      <c r="L45" s="4">
        <v>0</v>
      </c>
      <c r="N45" s="4">
        <v>0</v>
      </c>
      <c r="P45" s="4">
        <v>4877</v>
      </c>
      <c r="R45" s="4">
        <v>0</v>
      </c>
      <c r="T45" s="4">
        <v>1050</v>
      </c>
      <c r="V45" s="4">
        <v>7686</v>
      </c>
      <c r="X45" s="4">
        <v>401</v>
      </c>
      <c r="Z45" s="4">
        <v>0</v>
      </c>
      <c r="AB45" s="4">
        <v>420</v>
      </c>
      <c r="AD45" s="4">
        <v>0</v>
      </c>
      <c r="AF45" s="4">
        <v>0</v>
      </c>
      <c r="AH45" s="4">
        <f>SUM(F45:AF45)</f>
        <v>239781</v>
      </c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4" customFormat="1">
      <c r="A46" s="4">
        <v>162</v>
      </c>
      <c r="B46" s="4" t="s">
        <v>99</v>
      </c>
      <c r="D46" s="4" t="s">
        <v>53</v>
      </c>
      <c r="F46" s="4">
        <v>0</v>
      </c>
      <c r="H46" s="4">
        <v>201301</v>
      </c>
      <c r="J46" s="4">
        <v>0</v>
      </c>
      <c r="L46" s="4">
        <v>0</v>
      </c>
      <c r="N46" s="4">
        <v>0</v>
      </c>
      <c r="P46" s="4">
        <v>8545</v>
      </c>
      <c r="R46" s="4">
        <v>0</v>
      </c>
      <c r="T46" s="4">
        <v>1956</v>
      </c>
      <c r="V46" s="4">
        <v>3751</v>
      </c>
      <c r="X46" s="4">
        <v>705</v>
      </c>
      <c r="Z46" s="4">
        <v>29</v>
      </c>
      <c r="AB46" s="4">
        <v>0</v>
      </c>
      <c r="AD46" s="4">
        <v>0</v>
      </c>
      <c r="AF46" s="4">
        <v>0</v>
      </c>
      <c r="AH46" s="4">
        <f>SUM(F46:AF46)</f>
        <v>216287</v>
      </c>
    </row>
    <row r="47" spans="1:66" s="4" customFormat="1">
      <c r="A47" s="39">
        <v>130.1</v>
      </c>
      <c r="B47" s="3" t="s">
        <v>583</v>
      </c>
      <c r="C47" s="3"/>
      <c r="D47" s="3" t="s">
        <v>584</v>
      </c>
      <c r="E47" s="3"/>
      <c r="F47" s="4">
        <v>0</v>
      </c>
      <c r="H47" s="4">
        <v>2300084</v>
      </c>
      <c r="J47" s="4">
        <v>0</v>
      </c>
      <c r="L47" s="4">
        <v>0</v>
      </c>
      <c r="N47" s="4">
        <v>0</v>
      </c>
      <c r="P47" s="4">
        <v>50477</v>
      </c>
      <c r="R47" s="4">
        <v>0</v>
      </c>
      <c r="T47" s="4">
        <v>5443</v>
      </c>
      <c r="V47" s="4">
        <v>7203</v>
      </c>
      <c r="X47" s="4">
        <v>9503</v>
      </c>
      <c r="Z47" s="4">
        <v>0</v>
      </c>
      <c r="AB47" s="4">
        <v>0</v>
      </c>
      <c r="AD47" s="4">
        <v>0</v>
      </c>
      <c r="AF47" s="4">
        <v>0</v>
      </c>
      <c r="AH47" s="4">
        <f>SUM(F47:AF47)</f>
        <v>2372710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4" customFormat="1">
      <c r="A48" s="4">
        <v>223</v>
      </c>
      <c r="B48" s="4" t="s">
        <v>100</v>
      </c>
      <c r="D48" s="4" t="s">
        <v>56</v>
      </c>
      <c r="F48" s="4">
        <v>0</v>
      </c>
      <c r="H48" s="4">
        <v>457452</v>
      </c>
      <c r="J48" s="4">
        <v>0</v>
      </c>
      <c r="L48" s="4">
        <v>0</v>
      </c>
      <c r="N48" s="4">
        <v>0</v>
      </c>
      <c r="P48" s="4">
        <v>13749</v>
      </c>
      <c r="R48" s="4">
        <v>0</v>
      </c>
      <c r="T48" s="4">
        <v>75</v>
      </c>
      <c r="V48" s="4">
        <v>33026</v>
      </c>
      <c r="X48" s="4">
        <v>9854</v>
      </c>
      <c r="Z48" s="4">
        <v>0</v>
      </c>
      <c r="AB48" s="4">
        <v>0</v>
      </c>
      <c r="AD48" s="4">
        <v>0</v>
      </c>
      <c r="AF48" s="4">
        <v>0</v>
      </c>
      <c r="AH48" s="4">
        <f>SUM(F48:AF48)</f>
        <v>514156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4" customFormat="1">
      <c r="A49" s="4">
        <v>23</v>
      </c>
      <c r="B49" s="4" t="s">
        <v>475</v>
      </c>
      <c r="D49" s="4" t="s">
        <v>47</v>
      </c>
      <c r="F49" s="4">
        <v>0</v>
      </c>
      <c r="H49" s="4">
        <v>853503</v>
      </c>
      <c r="J49" s="4">
        <v>0</v>
      </c>
      <c r="L49" s="4">
        <v>0</v>
      </c>
      <c r="N49" s="4">
        <v>0</v>
      </c>
      <c r="P49" s="4">
        <v>34393</v>
      </c>
      <c r="R49" s="4">
        <v>0</v>
      </c>
      <c r="T49" s="4">
        <v>3377</v>
      </c>
      <c r="V49" s="4">
        <v>2924</v>
      </c>
      <c r="X49" s="4">
        <v>13645</v>
      </c>
      <c r="Z49" s="4">
        <v>0</v>
      </c>
      <c r="AB49" s="4">
        <v>0</v>
      </c>
      <c r="AD49" s="4">
        <v>0</v>
      </c>
      <c r="AF49" s="4">
        <v>0</v>
      </c>
      <c r="AH49" s="4">
        <f>SUM(F49:AF49)</f>
        <v>907842</v>
      </c>
    </row>
    <row r="50" spans="1:66" s="4" customFormat="1">
      <c r="A50" s="4">
        <v>194</v>
      </c>
      <c r="B50" s="4" t="s">
        <v>101</v>
      </c>
      <c r="D50" s="4" t="s">
        <v>102</v>
      </c>
      <c r="F50" s="4">
        <v>0</v>
      </c>
      <c r="H50" s="4">
        <v>120486</v>
      </c>
      <c r="J50" s="4">
        <v>0</v>
      </c>
      <c r="L50" s="4">
        <v>0</v>
      </c>
      <c r="N50" s="4">
        <v>0</v>
      </c>
      <c r="P50" s="4">
        <v>6406</v>
      </c>
      <c r="R50" s="4">
        <v>0</v>
      </c>
      <c r="T50" s="4">
        <v>3954</v>
      </c>
      <c r="V50" s="4">
        <v>5550</v>
      </c>
      <c r="X50" s="4">
        <v>0</v>
      </c>
      <c r="Z50" s="4">
        <v>0</v>
      </c>
      <c r="AB50" s="4">
        <v>0</v>
      </c>
      <c r="AD50" s="4">
        <v>0</v>
      </c>
      <c r="AF50" s="4">
        <v>0</v>
      </c>
      <c r="AH50" s="4">
        <f>SUM(F50:AF50)</f>
        <v>136396</v>
      </c>
    </row>
    <row r="51" spans="1:66" s="4" customFormat="1">
      <c r="A51" s="4">
        <v>46</v>
      </c>
      <c r="B51" s="4" t="s">
        <v>103</v>
      </c>
      <c r="D51" s="4" t="s">
        <v>52</v>
      </c>
      <c r="F51" s="4">
        <v>0</v>
      </c>
      <c r="H51" s="4">
        <v>629480</v>
      </c>
      <c r="J51" s="4">
        <v>0</v>
      </c>
      <c r="L51" s="4">
        <v>0</v>
      </c>
      <c r="N51" s="4">
        <v>0</v>
      </c>
      <c r="P51" s="4">
        <v>7216</v>
      </c>
      <c r="R51" s="4">
        <v>0</v>
      </c>
      <c r="T51" s="4">
        <v>326485</v>
      </c>
      <c r="V51" s="4">
        <v>68122</v>
      </c>
      <c r="X51" s="4">
        <v>20588</v>
      </c>
      <c r="Z51" s="4">
        <v>0</v>
      </c>
      <c r="AB51" s="4">
        <v>1793639</v>
      </c>
      <c r="AD51" s="4">
        <v>0</v>
      </c>
      <c r="AF51" s="4">
        <v>0</v>
      </c>
      <c r="AH51" s="4">
        <f>SUM(F51:AF51)</f>
        <v>2845530</v>
      </c>
    </row>
    <row r="52" spans="1:66" s="4" customFormat="1">
      <c r="A52" s="4">
        <v>89</v>
      </c>
      <c r="B52" s="4" t="s">
        <v>104</v>
      </c>
      <c r="D52" s="4" t="s">
        <v>17</v>
      </c>
      <c r="F52" s="4">
        <v>159430</v>
      </c>
      <c r="H52" s="4">
        <v>550866</v>
      </c>
      <c r="J52" s="4">
        <v>0</v>
      </c>
      <c r="L52" s="4">
        <v>49755</v>
      </c>
      <c r="N52" s="4">
        <v>0</v>
      </c>
      <c r="P52" s="4">
        <v>19467</v>
      </c>
      <c r="R52" s="4">
        <v>0</v>
      </c>
      <c r="T52" s="4">
        <v>19083</v>
      </c>
      <c r="V52" s="4">
        <v>4201</v>
      </c>
      <c r="X52" s="4">
        <v>712</v>
      </c>
      <c r="Z52" s="4">
        <v>20</v>
      </c>
      <c r="AB52" s="4">
        <v>0</v>
      </c>
      <c r="AD52" s="4">
        <v>0</v>
      </c>
      <c r="AF52" s="4">
        <v>0</v>
      </c>
      <c r="AH52" s="4">
        <f>SUM(F52:AF52)</f>
        <v>803534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4" customFormat="1">
      <c r="A53" s="4">
        <v>179</v>
      </c>
      <c r="B53" s="4" t="s">
        <v>105</v>
      </c>
      <c r="D53" s="4" t="s">
        <v>106</v>
      </c>
      <c r="F53" s="4">
        <v>0</v>
      </c>
      <c r="H53" s="4">
        <v>452460</v>
      </c>
      <c r="J53" s="4">
        <v>0</v>
      </c>
      <c r="L53" s="4">
        <v>0</v>
      </c>
      <c r="N53" s="4">
        <v>0</v>
      </c>
      <c r="P53" s="4">
        <v>13657</v>
      </c>
      <c r="R53" s="4">
        <v>0</v>
      </c>
      <c r="T53" s="4">
        <v>320</v>
      </c>
      <c r="V53" s="4">
        <v>7222</v>
      </c>
      <c r="X53" s="4">
        <v>835</v>
      </c>
      <c r="Z53" s="4">
        <v>0</v>
      </c>
      <c r="AB53" s="4">
        <v>0</v>
      </c>
      <c r="AD53" s="4">
        <v>0</v>
      </c>
      <c r="AF53" s="4">
        <v>0</v>
      </c>
      <c r="AH53" s="4">
        <f>SUM(F53:AF53)</f>
        <v>474494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4" customFormat="1">
      <c r="A54" s="4">
        <v>209</v>
      </c>
      <c r="B54" s="4" t="s">
        <v>107</v>
      </c>
      <c r="D54" s="4" t="s">
        <v>25</v>
      </c>
      <c r="F54" s="4">
        <v>216409</v>
      </c>
      <c r="H54" s="4">
        <v>605665</v>
      </c>
      <c r="J54" s="4">
        <v>0</v>
      </c>
      <c r="L54" s="4">
        <v>32706</v>
      </c>
      <c r="N54" s="4">
        <v>0</v>
      </c>
      <c r="P54" s="4">
        <v>28771</v>
      </c>
      <c r="R54" s="4">
        <v>0</v>
      </c>
      <c r="T54" s="4">
        <v>2099</v>
      </c>
      <c r="V54" s="4">
        <v>9010</v>
      </c>
      <c r="X54" s="4">
        <v>2496</v>
      </c>
      <c r="Z54" s="4">
        <v>0</v>
      </c>
      <c r="AB54" s="4">
        <v>0</v>
      </c>
      <c r="AD54" s="4">
        <v>0</v>
      </c>
      <c r="AF54" s="4">
        <v>60</v>
      </c>
      <c r="AH54" s="4">
        <f>SUM(F54:AF54)</f>
        <v>897216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4" customFormat="1">
      <c r="A55" s="4">
        <v>174</v>
      </c>
      <c r="B55" s="4" t="s">
        <v>108</v>
      </c>
      <c r="D55" s="4" t="s">
        <v>68</v>
      </c>
      <c r="F55" s="4">
        <v>0</v>
      </c>
      <c r="H55" s="4">
        <v>267456</v>
      </c>
      <c r="J55" s="4">
        <v>0</v>
      </c>
      <c r="L55" s="4">
        <v>0</v>
      </c>
      <c r="N55" s="4">
        <v>0</v>
      </c>
      <c r="P55" s="4">
        <v>9172</v>
      </c>
      <c r="R55" s="4">
        <v>0</v>
      </c>
      <c r="T55" s="4">
        <v>1649</v>
      </c>
      <c r="V55" s="4">
        <v>4132</v>
      </c>
      <c r="X55" s="4">
        <v>5898</v>
      </c>
      <c r="Z55" s="4">
        <v>0</v>
      </c>
      <c r="AB55" s="4">
        <v>0</v>
      </c>
      <c r="AD55" s="4">
        <v>0</v>
      </c>
      <c r="AF55" s="4">
        <v>0</v>
      </c>
      <c r="AH55" s="4">
        <f>SUM(F55:AF55)</f>
        <v>288307</v>
      </c>
    </row>
    <row r="56" spans="1:66" s="4" customFormat="1">
      <c r="A56" s="4">
        <v>73</v>
      </c>
      <c r="B56" s="4" t="s">
        <v>109</v>
      </c>
      <c r="D56" s="4" t="s">
        <v>110</v>
      </c>
      <c r="F56" s="4">
        <v>0</v>
      </c>
      <c r="H56" s="4">
        <v>1033005</v>
      </c>
      <c r="J56" s="4">
        <v>0</v>
      </c>
      <c r="L56" s="4">
        <v>0</v>
      </c>
      <c r="N56" s="4">
        <v>0</v>
      </c>
      <c r="P56" s="4">
        <v>16803</v>
      </c>
      <c r="R56" s="4">
        <v>0</v>
      </c>
      <c r="T56" s="4">
        <f>1298+125000</f>
        <v>126298</v>
      </c>
      <c r="V56" s="4">
        <v>40324</v>
      </c>
      <c r="X56" s="4">
        <v>18683</v>
      </c>
      <c r="Z56" s="4">
        <v>0</v>
      </c>
      <c r="AB56" s="4">
        <v>0</v>
      </c>
      <c r="AD56" s="4">
        <v>0</v>
      </c>
      <c r="AF56" s="4">
        <v>0</v>
      </c>
      <c r="AH56" s="4">
        <f>SUM(F56:AF56)</f>
        <v>1235113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4" customFormat="1">
      <c r="A57" s="4">
        <v>27</v>
      </c>
      <c r="B57" s="4" t="s">
        <v>596</v>
      </c>
      <c r="D57" s="4" t="s">
        <v>48</v>
      </c>
      <c r="F57" s="4">
        <v>0</v>
      </c>
      <c r="H57" s="4">
        <v>713951</v>
      </c>
      <c r="J57" s="4">
        <v>0</v>
      </c>
      <c r="L57" s="4">
        <v>0</v>
      </c>
      <c r="N57" s="4">
        <v>0</v>
      </c>
      <c r="P57" s="4">
        <v>27976</v>
      </c>
      <c r="R57" s="4">
        <v>0</v>
      </c>
      <c r="T57" s="4">
        <v>1730</v>
      </c>
      <c r="V57" s="4">
        <v>13740</v>
      </c>
      <c r="X57" s="4">
        <v>16288</v>
      </c>
      <c r="Z57" s="4">
        <v>0</v>
      </c>
      <c r="AB57" s="4">
        <v>53402</v>
      </c>
      <c r="AD57" s="4">
        <v>0</v>
      </c>
      <c r="AF57" s="4">
        <v>0</v>
      </c>
      <c r="AH57" s="4">
        <f>SUM(F57:AF57)</f>
        <v>827087</v>
      </c>
    </row>
    <row r="58" spans="1:66" s="4" customFormat="1">
      <c r="A58" s="4">
        <v>121</v>
      </c>
      <c r="B58" s="4" t="s">
        <v>111</v>
      </c>
      <c r="D58" s="4" t="s">
        <v>16</v>
      </c>
      <c r="F58" s="4">
        <v>0</v>
      </c>
      <c r="H58" s="4">
        <v>279106</v>
      </c>
      <c r="J58" s="4">
        <v>0</v>
      </c>
      <c r="L58" s="4">
        <v>0</v>
      </c>
      <c r="N58" s="4">
        <v>0</v>
      </c>
      <c r="P58" s="4">
        <v>6909</v>
      </c>
      <c r="R58" s="4">
        <v>0</v>
      </c>
      <c r="T58" s="4">
        <v>572</v>
      </c>
      <c r="V58" s="4">
        <v>24072</v>
      </c>
      <c r="X58" s="4">
        <v>127</v>
      </c>
      <c r="Z58" s="4">
        <v>0</v>
      </c>
      <c r="AB58" s="4">
        <v>0</v>
      </c>
      <c r="AD58" s="4">
        <v>0</v>
      </c>
      <c r="AF58" s="4">
        <v>0</v>
      </c>
      <c r="AH58" s="4">
        <f>SUM(F58:AF58)</f>
        <v>310786</v>
      </c>
    </row>
    <row r="59" spans="1:66" s="4" customFormat="1">
      <c r="A59" s="4">
        <v>28</v>
      </c>
      <c r="B59" s="4" t="s">
        <v>597</v>
      </c>
      <c r="D59" s="4" t="s">
        <v>62</v>
      </c>
      <c r="F59" s="4">
        <v>123802</v>
      </c>
      <c r="H59" s="4">
        <v>720847</v>
      </c>
      <c r="J59" s="4">
        <v>0</v>
      </c>
      <c r="L59" s="4">
        <v>0</v>
      </c>
      <c r="N59" s="4">
        <v>0</v>
      </c>
      <c r="P59" s="4">
        <v>42025</v>
      </c>
      <c r="R59" s="4">
        <v>0</v>
      </c>
      <c r="T59" s="4">
        <v>2731</v>
      </c>
      <c r="V59" s="4">
        <f>1938+7445</f>
        <v>9383</v>
      </c>
      <c r="X59" s="4">
        <v>11029</v>
      </c>
      <c r="Z59" s="4">
        <v>0</v>
      </c>
      <c r="AB59" s="4">
        <v>40000</v>
      </c>
      <c r="AD59" s="4">
        <v>0</v>
      </c>
      <c r="AF59" s="4">
        <v>0</v>
      </c>
      <c r="AH59" s="4">
        <f>SUM(F59:AF59)</f>
        <v>949817</v>
      </c>
    </row>
    <row r="60" spans="1:66" s="4" customFormat="1">
      <c r="A60" s="4">
        <v>199</v>
      </c>
      <c r="B60" s="4" t="s">
        <v>112</v>
      </c>
      <c r="D60" s="4" t="s">
        <v>49</v>
      </c>
      <c r="F60" s="4">
        <v>0</v>
      </c>
      <c r="H60" s="4">
        <v>2635408</v>
      </c>
      <c r="J60" s="4">
        <v>0</v>
      </c>
      <c r="L60" s="4">
        <v>0</v>
      </c>
      <c r="N60" s="4">
        <v>0</v>
      </c>
      <c r="P60" s="4">
        <v>70551</v>
      </c>
      <c r="R60" s="4">
        <v>0</v>
      </c>
      <c r="T60" s="4">
        <v>29936</v>
      </c>
      <c r="V60" s="4">
        <v>18994</v>
      </c>
      <c r="X60" s="4">
        <v>18649</v>
      </c>
      <c r="Z60" s="4">
        <v>0</v>
      </c>
      <c r="AB60" s="4">
        <v>0</v>
      </c>
      <c r="AD60" s="4">
        <v>0</v>
      </c>
      <c r="AF60" s="4">
        <v>0</v>
      </c>
      <c r="AH60" s="4">
        <f>SUM(F60:AF60)</f>
        <v>2773538</v>
      </c>
    </row>
    <row r="61" spans="1:66" s="4" customFormat="1">
      <c r="A61" s="4">
        <v>32</v>
      </c>
      <c r="B61" s="4" t="s">
        <v>113</v>
      </c>
      <c r="D61" s="4" t="s">
        <v>114</v>
      </c>
      <c r="F61" s="4">
        <v>0</v>
      </c>
      <c r="H61" s="4">
        <v>4835114</v>
      </c>
      <c r="J61" s="4">
        <v>0</v>
      </c>
      <c r="L61" s="4">
        <v>0</v>
      </c>
      <c r="N61" s="4">
        <v>0</v>
      </c>
      <c r="P61" s="4">
        <v>116505</v>
      </c>
      <c r="R61" s="4">
        <v>2185</v>
      </c>
      <c r="T61" s="4">
        <v>32534</v>
      </c>
      <c r="V61" s="4">
        <v>192353</v>
      </c>
      <c r="X61" s="4">
        <v>60734</v>
      </c>
      <c r="Z61" s="4">
        <v>0</v>
      </c>
      <c r="AB61" s="4">
        <v>0</v>
      </c>
      <c r="AD61" s="4">
        <v>0</v>
      </c>
      <c r="AF61" s="4">
        <v>5916</v>
      </c>
      <c r="AH61" s="4">
        <f>SUM(F61:AF61)</f>
        <v>5245341</v>
      </c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4" customFormat="1">
      <c r="A62" s="4">
        <v>231</v>
      </c>
      <c r="B62" s="4" t="s">
        <v>301</v>
      </c>
      <c r="D62" s="4" t="s">
        <v>26</v>
      </c>
      <c r="F62" s="4">
        <v>0</v>
      </c>
      <c r="H62" s="4">
        <v>445360</v>
      </c>
      <c r="J62" s="4">
        <v>0</v>
      </c>
      <c r="L62" s="4">
        <v>5000</v>
      </c>
      <c r="N62" s="4">
        <v>0</v>
      </c>
      <c r="P62" s="4">
        <v>8644</v>
      </c>
      <c r="R62" s="4">
        <v>0</v>
      </c>
      <c r="T62" s="4">
        <v>1165</v>
      </c>
      <c r="V62" s="4">
        <v>27140</v>
      </c>
      <c r="X62" s="4">
        <v>185</v>
      </c>
      <c r="Z62" s="4">
        <v>0</v>
      </c>
      <c r="AB62" s="4">
        <v>0</v>
      </c>
      <c r="AD62" s="4">
        <v>0</v>
      </c>
      <c r="AF62" s="4">
        <v>0</v>
      </c>
      <c r="AH62" s="4">
        <f>SUM(F62:AF62)</f>
        <v>487494</v>
      </c>
    </row>
    <row r="63" spans="1:66" s="4" customFormat="1">
      <c r="A63" s="4">
        <v>34</v>
      </c>
      <c r="B63" s="4" t="s">
        <v>115</v>
      </c>
      <c r="D63" s="4" t="s">
        <v>116</v>
      </c>
      <c r="F63" s="4">
        <v>1384418</v>
      </c>
      <c r="H63" s="4">
        <v>0</v>
      </c>
      <c r="J63" s="4">
        <v>0</v>
      </c>
      <c r="L63" s="4">
        <v>5935578</v>
      </c>
      <c r="N63" s="4">
        <v>0</v>
      </c>
      <c r="P63" s="4">
        <v>337004</v>
      </c>
      <c r="R63" s="4">
        <v>0</v>
      </c>
      <c r="T63" s="4">
        <v>55249</v>
      </c>
      <c r="V63" s="4">
        <v>167634</v>
      </c>
      <c r="X63" s="4">
        <v>36950</v>
      </c>
      <c r="Z63" s="4">
        <v>0</v>
      </c>
      <c r="AB63" s="4">
        <v>584150</v>
      </c>
      <c r="AD63" s="4">
        <v>41368</v>
      </c>
      <c r="AF63" s="4">
        <v>0</v>
      </c>
      <c r="AH63" s="4">
        <f>SUM(F63:AF63)</f>
        <v>8542351</v>
      </c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4" customFormat="1">
      <c r="A64" s="4">
        <v>49</v>
      </c>
      <c r="B64" s="4" t="s">
        <v>427</v>
      </c>
      <c r="D64" s="4" t="s">
        <v>19</v>
      </c>
      <c r="F64" s="4">
        <v>4006125</v>
      </c>
      <c r="H64" s="4">
        <v>0</v>
      </c>
      <c r="J64" s="4">
        <v>0</v>
      </c>
      <c r="L64" s="4">
        <v>3607370</v>
      </c>
      <c r="N64" s="4">
        <v>18255</v>
      </c>
      <c r="P64" s="4">
        <v>108402</v>
      </c>
      <c r="R64" s="4">
        <v>0</v>
      </c>
      <c r="T64" s="4">
        <v>6558</v>
      </c>
      <c r="V64" s="4">
        <v>67337</v>
      </c>
      <c r="X64" s="4">
        <v>1890</v>
      </c>
      <c r="Z64" s="4">
        <v>0</v>
      </c>
      <c r="AB64" s="4">
        <v>400000</v>
      </c>
      <c r="AD64" s="4">
        <v>0</v>
      </c>
      <c r="AF64" s="4">
        <v>0</v>
      </c>
      <c r="AH64" s="4">
        <f>SUM(F64:AF64)</f>
        <v>8215937</v>
      </c>
    </row>
    <row r="65" spans="1:66" s="4" customFormat="1">
      <c r="A65" s="4">
        <v>50</v>
      </c>
      <c r="B65" s="4" t="s">
        <v>428</v>
      </c>
      <c r="D65" s="4" t="s">
        <v>19</v>
      </c>
      <c r="F65" s="4">
        <v>27930751</v>
      </c>
      <c r="H65" s="4">
        <v>0</v>
      </c>
      <c r="J65" s="4">
        <v>0</v>
      </c>
      <c r="L65" s="4">
        <v>33494271</v>
      </c>
      <c r="N65" s="4">
        <v>0</v>
      </c>
      <c r="P65" s="4">
        <f>3007800+322319</f>
        <v>3330119</v>
      </c>
      <c r="R65" s="4">
        <v>0</v>
      </c>
      <c r="T65" s="4">
        <v>607164</v>
      </c>
      <c r="V65" s="4">
        <f>2123795-2954228</f>
        <v>-830433</v>
      </c>
      <c r="X65" s="4">
        <v>488759</v>
      </c>
      <c r="Z65" s="4">
        <v>0</v>
      </c>
      <c r="AB65" s="4">
        <v>0</v>
      </c>
      <c r="AD65" s="4">
        <v>0</v>
      </c>
      <c r="AF65" s="4">
        <v>0</v>
      </c>
      <c r="AH65" s="4">
        <f>SUM(F65:AF65)</f>
        <v>65020631</v>
      </c>
    </row>
    <row r="66" spans="1:66" s="4" customFormat="1">
      <c r="A66" s="4">
        <v>201</v>
      </c>
      <c r="B66" s="4" t="s">
        <v>117</v>
      </c>
      <c r="D66" s="4" t="s">
        <v>94</v>
      </c>
      <c r="F66" s="4">
        <v>161583</v>
      </c>
      <c r="H66" s="4">
        <v>346671</v>
      </c>
      <c r="J66" s="4">
        <v>0</v>
      </c>
      <c r="L66" s="4">
        <v>60156</v>
      </c>
      <c r="N66" s="4">
        <v>0</v>
      </c>
      <c r="P66" s="4">
        <v>17372</v>
      </c>
      <c r="R66" s="4">
        <v>0</v>
      </c>
      <c r="T66" s="4">
        <v>82973</v>
      </c>
      <c r="V66" s="4">
        <v>21908</v>
      </c>
      <c r="X66" s="4">
        <v>699</v>
      </c>
      <c r="Z66" s="4">
        <v>0</v>
      </c>
      <c r="AB66" s="4">
        <v>75590</v>
      </c>
      <c r="AD66" s="4">
        <v>0</v>
      </c>
      <c r="AF66" s="4">
        <v>0</v>
      </c>
      <c r="AH66" s="4">
        <f>SUM(F66:AF66)</f>
        <v>766952</v>
      </c>
    </row>
    <row r="67" spans="1:66" s="4" customFormat="1">
      <c r="A67" s="4">
        <v>158</v>
      </c>
      <c r="B67" s="4" t="s">
        <v>492</v>
      </c>
      <c r="D67" s="4" t="s">
        <v>50</v>
      </c>
      <c r="F67" s="4">
        <v>0</v>
      </c>
      <c r="H67" s="4">
        <v>252646</v>
      </c>
      <c r="J67" s="4">
        <v>0</v>
      </c>
      <c r="L67" s="4">
        <v>0</v>
      </c>
      <c r="N67" s="4">
        <v>0</v>
      </c>
      <c r="P67" s="4">
        <v>8079</v>
      </c>
      <c r="R67" s="4">
        <v>0</v>
      </c>
      <c r="T67" s="4">
        <v>195</v>
      </c>
      <c r="V67" s="4">
        <v>2433</v>
      </c>
      <c r="X67" s="4">
        <v>1</v>
      </c>
      <c r="Z67" s="4">
        <v>1295</v>
      </c>
      <c r="AB67" s="4">
        <v>0</v>
      </c>
      <c r="AD67" s="4">
        <v>0</v>
      </c>
      <c r="AF67" s="4">
        <v>0</v>
      </c>
      <c r="AH67" s="4">
        <f>SUM(F67:AF67)</f>
        <v>264649</v>
      </c>
    </row>
    <row r="68" spans="1:66" s="4" customFormat="1">
      <c r="A68" s="4">
        <v>38</v>
      </c>
      <c r="B68" s="4" t="s">
        <v>454</v>
      </c>
      <c r="D68" s="4" t="s">
        <v>51</v>
      </c>
      <c r="F68" s="4">
        <v>0</v>
      </c>
      <c r="H68" s="4">
        <v>814978</v>
      </c>
      <c r="J68" s="4">
        <v>0</v>
      </c>
      <c r="L68" s="4">
        <v>0</v>
      </c>
      <c r="N68" s="4">
        <v>0</v>
      </c>
      <c r="P68" s="4">
        <v>36806</v>
      </c>
      <c r="R68" s="4">
        <v>0</v>
      </c>
      <c r="T68" s="4">
        <v>8079</v>
      </c>
      <c r="V68" s="4">
        <v>27992</v>
      </c>
      <c r="X68" s="4">
        <v>5325</v>
      </c>
      <c r="Z68" s="4">
        <v>0</v>
      </c>
      <c r="AB68" s="4">
        <v>150000</v>
      </c>
      <c r="AD68" s="4">
        <v>0</v>
      </c>
      <c r="AF68" s="4">
        <v>0</v>
      </c>
      <c r="AH68" s="4">
        <f>SUM(F68:AF68)</f>
        <v>1043180</v>
      </c>
    </row>
    <row r="69" spans="1:66" s="4" customFormat="1">
      <c r="A69" s="4">
        <v>76</v>
      </c>
      <c r="B69" s="4" t="s">
        <v>118</v>
      </c>
      <c r="D69" s="4" t="s">
        <v>92</v>
      </c>
      <c r="F69" s="4">
        <v>20943681</v>
      </c>
      <c r="H69" s="4">
        <v>24407689</v>
      </c>
      <c r="J69" s="4">
        <v>0</v>
      </c>
      <c r="L69" s="4">
        <v>15116</v>
      </c>
      <c r="N69" s="4">
        <v>0</v>
      </c>
      <c r="P69" s="4">
        <v>2067899</v>
      </c>
      <c r="R69" s="4">
        <v>739085</v>
      </c>
      <c r="T69" s="4">
        <v>279896</v>
      </c>
      <c r="V69" s="4">
        <v>770598</v>
      </c>
      <c r="X69" s="4">
        <v>1145599</v>
      </c>
      <c r="Z69" s="4">
        <v>0</v>
      </c>
      <c r="AB69" s="4">
        <v>2168424</v>
      </c>
      <c r="AD69" s="4">
        <v>0</v>
      </c>
      <c r="AF69" s="4">
        <v>0</v>
      </c>
      <c r="AH69" s="4">
        <f>SUM(F69:AF69)</f>
        <v>52537987</v>
      </c>
    </row>
    <row r="70" spans="1:66" s="4" customFormat="1">
      <c r="A70" s="4">
        <v>63</v>
      </c>
      <c r="B70" s="4" t="s">
        <v>363</v>
      </c>
      <c r="D70" s="4" t="s">
        <v>70</v>
      </c>
      <c r="F70" s="4">
        <v>0</v>
      </c>
      <c r="H70" s="4">
        <v>624379</v>
      </c>
      <c r="J70" s="4">
        <v>0</v>
      </c>
      <c r="L70" s="4">
        <v>0</v>
      </c>
      <c r="N70" s="4">
        <v>0</v>
      </c>
      <c r="P70" s="4">
        <v>21973</v>
      </c>
      <c r="R70" s="4">
        <v>0</v>
      </c>
      <c r="T70" s="4">
        <v>12279</v>
      </c>
      <c r="V70" s="4">
        <v>12428</v>
      </c>
      <c r="X70" s="4">
        <v>442</v>
      </c>
      <c r="Z70" s="4">
        <v>0</v>
      </c>
      <c r="AB70" s="4">
        <v>0</v>
      </c>
      <c r="AD70" s="4">
        <v>0</v>
      </c>
      <c r="AF70" s="4">
        <v>0</v>
      </c>
      <c r="AH70" s="4">
        <f>SUM(F70:AF70)</f>
        <v>671501</v>
      </c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4" customFormat="1">
      <c r="A71" s="4">
        <v>10</v>
      </c>
      <c r="B71" s="4" t="s">
        <v>119</v>
      </c>
      <c r="D71" s="4" t="s">
        <v>43</v>
      </c>
      <c r="F71" s="4">
        <v>546228</v>
      </c>
      <c r="H71" s="4">
        <v>0</v>
      </c>
      <c r="J71" s="4">
        <v>0</v>
      </c>
      <c r="L71" s="4">
        <v>0</v>
      </c>
      <c r="N71" s="4">
        <v>0</v>
      </c>
      <c r="P71" s="4">
        <v>7206</v>
      </c>
      <c r="R71" s="4">
        <v>300</v>
      </c>
      <c r="T71" s="4">
        <v>3298</v>
      </c>
      <c r="V71" s="4">
        <v>15214</v>
      </c>
      <c r="X71" s="4">
        <v>13512</v>
      </c>
      <c r="Z71" s="4">
        <v>0</v>
      </c>
      <c r="AB71" s="4">
        <v>40000</v>
      </c>
      <c r="AD71" s="4">
        <v>28558</v>
      </c>
      <c r="AF71" s="4">
        <v>0</v>
      </c>
      <c r="AH71" s="4">
        <f>SUM(F71:AF71)</f>
        <v>654316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4" customFormat="1">
      <c r="A72" s="4">
        <v>45</v>
      </c>
      <c r="B72" s="4" t="s">
        <v>120</v>
      </c>
      <c r="D72" s="4" t="s">
        <v>121</v>
      </c>
      <c r="F72" s="4">
        <v>0</v>
      </c>
      <c r="H72" s="4">
        <v>1360264</v>
      </c>
      <c r="J72" s="4">
        <v>0</v>
      </c>
      <c r="L72" s="4">
        <v>12079</v>
      </c>
      <c r="N72" s="4">
        <v>0</v>
      </c>
      <c r="P72" s="4">
        <v>39892</v>
      </c>
      <c r="R72" s="4">
        <v>11737</v>
      </c>
      <c r="T72" s="4">
        <v>86863</v>
      </c>
      <c r="V72" s="4">
        <v>72471</v>
      </c>
      <c r="X72" s="4">
        <v>6025</v>
      </c>
      <c r="Z72" s="4">
        <v>0</v>
      </c>
      <c r="AB72" s="4">
        <v>67280</v>
      </c>
      <c r="AD72" s="4">
        <v>0</v>
      </c>
      <c r="AF72" s="4">
        <v>0</v>
      </c>
      <c r="AH72" s="4">
        <f>SUM(F72:AF72)</f>
        <v>1656611</v>
      </c>
    </row>
    <row r="73" spans="1:66" s="4" customFormat="1">
      <c r="A73" s="4">
        <v>47</v>
      </c>
      <c r="B73" s="4" t="s">
        <v>122</v>
      </c>
      <c r="D73" s="4" t="s">
        <v>52</v>
      </c>
      <c r="F73" s="4">
        <v>0</v>
      </c>
      <c r="H73" s="4">
        <v>521569</v>
      </c>
      <c r="J73" s="4">
        <v>0</v>
      </c>
      <c r="L73" s="4">
        <v>0</v>
      </c>
      <c r="N73" s="4">
        <v>0</v>
      </c>
      <c r="P73" s="4">
        <v>13251</v>
      </c>
      <c r="R73" s="4">
        <v>0</v>
      </c>
      <c r="T73" s="4">
        <v>11230</v>
      </c>
      <c r="V73" s="4">
        <v>79715</v>
      </c>
      <c r="X73" s="4">
        <v>4400</v>
      </c>
      <c r="Z73" s="4">
        <v>0</v>
      </c>
      <c r="AB73" s="4">
        <v>0</v>
      </c>
      <c r="AD73" s="4">
        <v>0</v>
      </c>
      <c r="AF73" s="4">
        <v>0</v>
      </c>
      <c r="AH73" s="4">
        <f>SUM(F73:AF73)</f>
        <v>630165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4" customFormat="1">
      <c r="A74" s="4">
        <v>51</v>
      </c>
      <c r="B74" s="4" t="s">
        <v>598</v>
      </c>
      <c r="D74" s="4" t="s">
        <v>19</v>
      </c>
      <c r="F74" s="4">
        <v>30159429</v>
      </c>
      <c r="H74" s="4">
        <v>0</v>
      </c>
      <c r="J74" s="4">
        <v>0</v>
      </c>
      <c r="L74" s="4">
        <v>31296647</v>
      </c>
      <c r="N74" s="4">
        <v>36966</v>
      </c>
      <c r="P74" s="4">
        <v>673815</v>
      </c>
      <c r="R74" s="4">
        <v>5952</v>
      </c>
      <c r="T74" s="4">
        <v>529813</v>
      </c>
      <c r="V74" s="4">
        <v>948649</v>
      </c>
      <c r="X74" s="4">
        <f>366411+33833</f>
        <v>400244</v>
      </c>
      <c r="Z74" s="4">
        <v>14421</v>
      </c>
      <c r="AB74" s="4">
        <v>5155000</v>
      </c>
      <c r="AD74" s="4">
        <v>0</v>
      </c>
      <c r="AF74" s="4">
        <v>0</v>
      </c>
      <c r="AH74" s="4">
        <f>SUM(F74:AF74)</f>
        <v>69220936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4" customFormat="1">
      <c r="A75" s="4">
        <v>169</v>
      </c>
      <c r="B75" s="4" t="s">
        <v>124</v>
      </c>
      <c r="D75" s="4" t="s">
        <v>55</v>
      </c>
      <c r="F75" s="4">
        <v>8303677</v>
      </c>
      <c r="H75" s="4">
        <v>0</v>
      </c>
      <c r="J75" s="4">
        <v>0</v>
      </c>
      <c r="L75" s="4">
        <v>20760585</v>
      </c>
      <c r="N75" s="4">
        <v>0</v>
      </c>
      <c r="P75" s="4">
        <v>602424</v>
      </c>
      <c r="R75" s="4">
        <v>123555</v>
      </c>
      <c r="T75" s="4">
        <v>105980</v>
      </c>
      <c r="V75" s="4">
        <v>598174</v>
      </c>
      <c r="X75" s="4">
        <v>149386</v>
      </c>
      <c r="Z75" s="4">
        <v>208</v>
      </c>
      <c r="AB75" s="4">
        <v>102328</v>
      </c>
      <c r="AD75" s="4">
        <v>0</v>
      </c>
      <c r="AF75" s="4">
        <v>0</v>
      </c>
      <c r="AH75" s="4">
        <f>SUM(F75:AF75)</f>
        <v>30746317</v>
      </c>
    </row>
    <row r="76" spans="1:66" s="4" customFormat="1">
      <c r="A76" s="4">
        <v>62</v>
      </c>
      <c r="B76" s="4" t="s">
        <v>125</v>
      </c>
      <c r="D76" s="4" t="s">
        <v>126</v>
      </c>
      <c r="F76" s="4">
        <v>518019</v>
      </c>
      <c r="H76" s="4">
        <v>1465422</v>
      </c>
      <c r="J76" s="4">
        <v>0</v>
      </c>
      <c r="L76" s="4">
        <f>12799+1298</f>
        <v>14097</v>
      </c>
      <c r="N76" s="4">
        <v>0</v>
      </c>
      <c r="P76" s="4">
        <v>29941</v>
      </c>
      <c r="R76" s="4">
        <v>447</v>
      </c>
      <c r="T76" s="4">
        <v>15702</v>
      </c>
      <c r="V76" s="4">
        <v>38235</v>
      </c>
      <c r="X76" s="4">
        <v>18659</v>
      </c>
      <c r="Z76" s="4">
        <v>0</v>
      </c>
      <c r="AB76" s="4">
        <v>50000</v>
      </c>
      <c r="AD76" s="4">
        <v>0</v>
      </c>
      <c r="AF76" s="4">
        <v>0</v>
      </c>
      <c r="AH76" s="4">
        <f>SUM(F76:AF76)</f>
        <v>2150522</v>
      </c>
    </row>
    <row r="77" spans="1:66" s="4" customFormat="1">
      <c r="A77" s="4">
        <v>64</v>
      </c>
      <c r="B77" s="4" t="s">
        <v>127</v>
      </c>
      <c r="D77" s="4" t="s">
        <v>70</v>
      </c>
      <c r="F77" s="4">
        <v>250082</v>
      </c>
      <c r="H77" s="4">
        <v>2027746</v>
      </c>
      <c r="J77" s="4">
        <v>0</v>
      </c>
      <c r="L77" s="4">
        <v>54108</v>
      </c>
      <c r="N77" s="4">
        <v>0</v>
      </c>
      <c r="P77" s="4">
        <v>58256</v>
      </c>
      <c r="R77" s="4">
        <v>0</v>
      </c>
      <c r="T77" s="4">
        <v>11874</v>
      </c>
      <c r="V77" s="4">
        <v>67869</v>
      </c>
      <c r="X77" s="4">
        <v>36574</v>
      </c>
      <c r="Z77" s="4">
        <v>0</v>
      </c>
      <c r="AB77" s="4">
        <v>0</v>
      </c>
      <c r="AD77" s="4">
        <v>0</v>
      </c>
      <c r="AF77" s="4">
        <v>0</v>
      </c>
      <c r="AH77" s="4">
        <f>SUM(F77:AF77)</f>
        <v>2506509</v>
      </c>
    </row>
    <row r="78" spans="1:66" s="4" customFormat="1">
      <c r="A78" s="4">
        <v>4</v>
      </c>
      <c r="B78" s="4" t="s">
        <v>128</v>
      </c>
      <c r="D78" s="4" t="s">
        <v>97</v>
      </c>
      <c r="F78" s="4">
        <v>39474</v>
      </c>
      <c r="H78" s="4">
        <v>433127</v>
      </c>
      <c r="J78" s="4">
        <v>0</v>
      </c>
      <c r="L78" s="4">
        <v>17071</v>
      </c>
      <c r="N78" s="4">
        <v>0</v>
      </c>
      <c r="P78" s="4">
        <v>8189</v>
      </c>
      <c r="R78" s="4">
        <v>0</v>
      </c>
      <c r="T78" s="4">
        <v>52143</v>
      </c>
      <c r="V78" s="4">
        <v>10181</v>
      </c>
      <c r="X78" s="4">
        <v>4245</v>
      </c>
      <c r="Z78" s="4">
        <v>0</v>
      </c>
      <c r="AB78" s="4">
        <v>0</v>
      </c>
      <c r="AD78" s="4">
        <v>0</v>
      </c>
      <c r="AF78" s="4">
        <v>0</v>
      </c>
      <c r="AH78" s="4">
        <f>SUM(F78:AF78)</f>
        <v>564430</v>
      </c>
    </row>
    <row r="79" spans="1:66" s="4" customFormat="1">
      <c r="A79" s="4">
        <v>83</v>
      </c>
      <c r="B79" s="4" t="s">
        <v>129</v>
      </c>
      <c r="D79" s="4" t="s">
        <v>42</v>
      </c>
      <c r="F79" s="4">
        <v>113404</v>
      </c>
      <c r="H79" s="4">
        <v>292620</v>
      </c>
      <c r="J79" s="4">
        <v>0</v>
      </c>
      <c r="L79" s="4">
        <v>29141</v>
      </c>
      <c r="N79" s="4">
        <v>0</v>
      </c>
      <c r="P79" s="4">
        <v>12648</v>
      </c>
      <c r="R79" s="4">
        <v>0</v>
      </c>
      <c r="T79" s="4">
        <v>12584</v>
      </c>
      <c r="V79" s="4">
        <v>10902</v>
      </c>
      <c r="X79" s="4">
        <v>0</v>
      </c>
      <c r="Z79" s="4">
        <v>459</v>
      </c>
      <c r="AB79" s="4">
        <v>148000</v>
      </c>
      <c r="AD79" s="4">
        <v>0</v>
      </c>
      <c r="AF79" s="4">
        <v>0</v>
      </c>
      <c r="AH79" s="4">
        <f>SUM(F79:AF79)</f>
        <v>619758</v>
      </c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4" customFormat="1">
      <c r="A80" s="4">
        <v>258</v>
      </c>
      <c r="B80" s="4" t="s">
        <v>130</v>
      </c>
      <c r="D80" s="4" t="s">
        <v>63</v>
      </c>
      <c r="F80" s="4">
        <v>0</v>
      </c>
      <c r="H80" s="4">
        <v>317454</v>
      </c>
      <c r="J80" s="4">
        <v>0</v>
      </c>
      <c r="L80" s="4">
        <v>0</v>
      </c>
      <c r="N80" s="4">
        <v>0</v>
      </c>
      <c r="P80" s="4">
        <v>10988</v>
      </c>
      <c r="R80" s="4">
        <v>0</v>
      </c>
      <c r="T80" s="4">
        <v>9039</v>
      </c>
      <c r="V80" s="4">
        <v>11214</v>
      </c>
      <c r="X80" s="4">
        <v>0</v>
      </c>
      <c r="Z80" s="4">
        <v>0</v>
      </c>
      <c r="AB80" s="4">
        <v>0</v>
      </c>
      <c r="AD80" s="4">
        <v>0</v>
      </c>
      <c r="AF80" s="4">
        <v>0</v>
      </c>
      <c r="AH80" s="4">
        <f>SUM(F80:AF80)</f>
        <v>348695</v>
      </c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34" s="4" customFormat="1">
      <c r="A81" s="4">
        <v>232</v>
      </c>
      <c r="B81" s="4" t="s">
        <v>131</v>
      </c>
      <c r="D81" s="4" t="s">
        <v>26</v>
      </c>
      <c r="F81" s="4">
        <v>0</v>
      </c>
      <c r="H81" s="4">
        <v>726097</v>
      </c>
      <c r="J81" s="4">
        <v>0</v>
      </c>
      <c r="L81" s="4">
        <v>0</v>
      </c>
      <c r="N81" s="4">
        <v>0</v>
      </c>
      <c r="P81" s="4">
        <v>25657</v>
      </c>
      <c r="R81" s="4">
        <v>0</v>
      </c>
      <c r="T81" s="4">
        <v>10483</v>
      </c>
      <c r="V81" s="4">
        <v>29477</v>
      </c>
      <c r="X81" s="4">
        <v>3828</v>
      </c>
      <c r="Z81" s="4">
        <v>0</v>
      </c>
      <c r="AB81" s="4">
        <v>0</v>
      </c>
      <c r="AD81" s="4">
        <v>0</v>
      </c>
      <c r="AF81" s="4">
        <v>0</v>
      </c>
      <c r="AH81" s="4">
        <f>SUM(F81:AF81)</f>
        <v>795542</v>
      </c>
    </row>
    <row r="82" spans="1:34" s="4" customFormat="1">
      <c r="A82" s="4">
        <v>88</v>
      </c>
      <c r="B82" s="4" t="s">
        <v>336</v>
      </c>
      <c r="D82" s="4" t="s">
        <v>132</v>
      </c>
      <c r="F82" s="4">
        <v>151025</v>
      </c>
      <c r="H82" s="4">
        <v>1167879</v>
      </c>
      <c r="J82" s="4">
        <v>0</v>
      </c>
      <c r="L82" s="4">
        <v>45815</v>
      </c>
      <c r="N82" s="4">
        <v>0</v>
      </c>
      <c r="P82" s="4">
        <v>46399</v>
      </c>
      <c r="R82" s="4">
        <v>0</v>
      </c>
      <c r="T82" s="4">
        <v>3406</v>
      </c>
      <c r="V82" s="4">
        <v>45658</v>
      </c>
      <c r="X82" s="4">
        <v>18739</v>
      </c>
      <c r="Z82" s="4">
        <v>12594</v>
      </c>
      <c r="AB82" s="4">
        <v>561000</v>
      </c>
      <c r="AD82" s="4">
        <v>0</v>
      </c>
      <c r="AF82" s="4">
        <v>0</v>
      </c>
      <c r="AH82" s="4">
        <f>SUM(F82:AF82)</f>
        <v>2052515</v>
      </c>
    </row>
    <row r="83" spans="1:34" s="4" customFormat="1">
      <c r="A83" s="4">
        <v>138</v>
      </c>
      <c r="B83" s="4" t="s">
        <v>133</v>
      </c>
      <c r="D83" s="4" t="s">
        <v>87</v>
      </c>
      <c r="F83" s="4">
        <v>0</v>
      </c>
      <c r="H83" s="4">
        <v>62955</v>
      </c>
      <c r="J83" s="4">
        <v>0</v>
      </c>
      <c r="L83" s="4">
        <v>22080</v>
      </c>
      <c r="N83" s="4">
        <v>0</v>
      </c>
      <c r="P83" s="4">
        <v>17</v>
      </c>
      <c r="R83" s="4">
        <v>0</v>
      </c>
      <c r="T83" s="4">
        <v>788</v>
      </c>
      <c r="V83" s="4">
        <v>12481</v>
      </c>
      <c r="X83" s="4">
        <v>0</v>
      </c>
      <c r="Z83" s="4">
        <v>0</v>
      </c>
      <c r="AB83" s="4">
        <v>0</v>
      </c>
      <c r="AD83" s="4">
        <v>0</v>
      </c>
      <c r="AF83" s="4">
        <v>0</v>
      </c>
      <c r="AH83" s="4">
        <f>SUM(F83:AF83)</f>
        <v>98321</v>
      </c>
    </row>
    <row r="84" spans="1:34" s="4" customFormat="1">
      <c r="A84" s="4">
        <v>52</v>
      </c>
      <c r="B84" s="4" t="s">
        <v>456</v>
      </c>
      <c r="D84" s="4" t="s">
        <v>19</v>
      </c>
      <c r="F84" s="4">
        <v>1436134</v>
      </c>
      <c r="H84" s="4">
        <v>1770496</v>
      </c>
      <c r="J84" s="4">
        <v>0</v>
      </c>
      <c r="L84" s="4">
        <v>0</v>
      </c>
      <c r="N84" s="4">
        <v>0</v>
      </c>
      <c r="P84" s="4">
        <v>4491</v>
      </c>
      <c r="R84" s="4">
        <v>0</v>
      </c>
      <c r="T84" s="4">
        <v>164113</v>
      </c>
      <c r="V84" s="4">
        <v>8270</v>
      </c>
      <c r="X84" s="4">
        <v>20620</v>
      </c>
      <c r="Z84" s="4">
        <v>0</v>
      </c>
      <c r="AB84" s="4">
        <v>0</v>
      </c>
      <c r="AD84" s="4">
        <v>0</v>
      </c>
      <c r="AF84" s="4">
        <v>0</v>
      </c>
      <c r="AH84" s="4">
        <f>SUM(F84:AF84)</f>
        <v>3404124</v>
      </c>
    </row>
    <row r="85" spans="1:34" s="4" customFormat="1"/>
    <row r="86" spans="1:34" s="4" customFormat="1">
      <c r="AH86" s="47" t="s">
        <v>593</v>
      </c>
    </row>
    <row r="87" spans="1:34">
      <c r="B87" s="3" t="s">
        <v>525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>
      <c r="B88" s="3" t="s">
        <v>527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>
      <c r="B89" s="41" t="s">
        <v>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36" customFormat="1">
      <c r="F91" s="28"/>
      <c r="G91" s="28"/>
      <c r="H91" s="28" t="s">
        <v>282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s="36" customFormat="1">
      <c r="F92" s="28" t="s">
        <v>31</v>
      </c>
      <c r="G92" s="28"/>
      <c r="H92" s="28" t="s">
        <v>283</v>
      </c>
      <c r="I92" s="28"/>
      <c r="J92" s="28"/>
      <c r="K92" s="28"/>
      <c r="L92" s="28"/>
      <c r="M92" s="28"/>
      <c r="N92" s="28"/>
      <c r="O92" s="28"/>
      <c r="P92" s="28"/>
      <c r="Q92" s="28"/>
      <c r="R92" s="28" t="s">
        <v>29</v>
      </c>
      <c r="S92" s="28"/>
      <c r="T92" s="28" t="s">
        <v>289</v>
      </c>
      <c r="U92" s="28"/>
      <c r="V92" s="28"/>
      <c r="W92" s="28"/>
      <c r="X92" s="28"/>
      <c r="Y92" s="28"/>
      <c r="Z92" s="28" t="s">
        <v>294</v>
      </c>
      <c r="AA92" s="28"/>
      <c r="AB92" s="28"/>
      <c r="AC92" s="28"/>
      <c r="AD92" s="28"/>
      <c r="AE92" s="28"/>
      <c r="AF92" s="28" t="s">
        <v>0</v>
      </c>
      <c r="AG92" s="28"/>
      <c r="AH92" s="28"/>
    </row>
    <row r="93" spans="1:34" s="36" customFormat="1" ht="12" customHeight="1">
      <c r="F93" s="28" t="s">
        <v>0</v>
      </c>
      <c r="G93" s="28"/>
      <c r="H93" s="28" t="s">
        <v>284</v>
      </c>
      <c r="I93" s="28"/>
      <c r="J93" s="28" t="s">
        <v>558</v>
      </c>
      <c r="K93" s="28"/>
      <c r="L93" s="28" t="s">
        <v>348</v>
      </c>
      <c r="M93" s="28"/>
      <c r="N93" s="28"/>
      <c r="O93" s="28"/>
      <c r="P93" s="28" t="s">
        <v>286</v>
      </c>
      <c r="Q93" s="28"/>
      <c r="R93" s="28" t="s">
        <v>288</v>
      </c>
      <c r="S93" s="28"/>
      <c r="T93" s="28" t="s">
        <v>290</v>
      </c>
      <c r="U93" s="28"/>
      <c r="V93" s="28" t="s">
        <v>292</v>
      </c>
      <c r="W93" s="28"/>
      <c r="X93" s="28"/>
      <c r="Y93" s="28"/>
      <c r="Z93" s="28" t="s">
        <v>295</v>
      </c>
      <c r="AA93" s="28"/>
      <c r="AB93" s="28"/>
      <c r="AC93" s="28"/>
      <c r="AD93" s="28"/>
      <c r="AE93" s="28"/>
      <c r="AF93" s="28" t="s">
        <v>296</v>
      </c>
      <c r="AG93" s="28"/>
      <c r="AH93" s="28"/>
    </row>
    <row r="94" spans="1:34" s="36" customFormat="1" ht="12" customHeight="1">
      <c r="A94" s="36" t="s">
        <v>580</v>
      </c>
      <c r="B94" s="37"/>
      <c r="C94" s="48"/>
      <c r="D94" s="37" t="s">
        <v>6</v>
      </c>
      <c r="E94" s="48"/>
      <c r="F94" s="56" t="s">
        <v>281</v>
      </c>
      <c r="G94" s="53"/>
      <c r="H94" s="56" t="s">
        <v>285</v>
      </c>
      <c r="I94" s="53"/>
      <c r="J94" s="56" t="s">
        <v>559</v>
      </c>
      <c r="K94" s="53"/>
      <c r="L94" s="56" t="s">
        <v>349</v>
      </c>
      <c r="M94" s="53"/>
      <c r="N94" s="56" t="s">
        <v>560</v>
      </c>
      <c r="O94" s="53"/>
      <c r="P94" s="56" t="s">
        <v>287</v>
      </c>
      <c r="Q94" s="53"/>
      <c r="R94" s="56" t="s">
        <v>562</v>
      </c>
      <c r="S94" s="53"/>
      <c r="T94" s="56" t="s">
        <v>291</v>
      </c>
      <c r="U94" s="53"/>
      <c r="V94" s="56" t="s">
        <v>293</v>
      </c>
      <c r="W94" s="53"/>
      <c r="X94" s="56" t="s">
        <v>1</v>
      </c>
      <c r="Y94" s="53"/>
      <c r="Z94" s="56" t="s">
        <v>32</v>
      </c>
      <c r="AA94" s="53"/>
      <c r="AB94" s="56" t="s">
        <v>509</v>
      </c>
      <c r="AC94" s="53"/>
      <c r="AD94" s="56" t="s">
        <v>510</v>
      </c>
      <c r="AE94" s="53"/>
      <c r="AF94" s="56" t="s">
        <v>297</v>
      </c>
      <c r="AG94" s="53"/>
      <c r="AH94" s="40" t="s">
        <v>28</v>
      </c>
    </row>
    <row r="95" spans="1:34" s="7" customFormat="1">
      <c r="A95" s="7">
        <v>39</v>
      </c>
      <c r="B95" s="7" t="s">
        <v>569</v>
      </c>
      <c r="D95" s="7" t="s">
        <v>51</v>
      </c>
      <c r="F95" s="7">
        <v>0</v>
      </c>
      <c r="H95" s="7">
        <v>723960</v>
      </c>
      <c r="J95" s="7">
        <v>0</v>
      </c>
      <c r="L95" s="7">
        <v>0</v>
      </c>
      <c r="N95" s="7">
        <v>0</v>
      </c>
      <c r="P95" s="7">
        <v>8373</v>
      </c>
      <c r="R95" s="7">
        <v>0</v>
      </c>
      <c r="T95" s="7">
        <v>1947</v>
      </c>
      <c r="V95" s="7">
        <v>17668</v>
      </c>
      <c r="X95" s="7">
        <v>35460</v>
      </c>
      <c r="Z95" s="7">
        <v>0</v>
      </c>
      <c r="AB95" s="7">
        <v>0</v>
      </c>
      <c r="AD95" s="7">
        <v>0</v>
      </c>
      <c r="AF95" s="7">
        <v>0</v>
      </c>
      <c r="AH95" s="7">
        <f>SUM(F95:AF95)</f>
        <v>787408</v>
      </c>
    </row>
    <row r="96" spans="1:34" s="4" customFormat="1">
      <c r="A96" s="4">
        <v>40</v>
      </c>
      <c r="B96" s="4" t="s">
        <v>134</v>
      </c>
      <c r="D96" s="4" t="s">
        <v>51</v>
      </c>
      <c r="F96" s="4">
        <v>0</v>
      </c>
      <c r="H96" s="4">
        <v>435362</v>
      </c>
      <c r="J96" s="4">
        <v>0</v>
      </c>
      <c r="L96" s="4">
        <v>0</v>
      </c>
      <c r="N96" s="4">
        <v>0</v>
      </c>
      <c r="P96" s="4">
        <v>16307</v>
      </c>
      <c r="R96" s="4">
        <v>0</v>
      </c>
      <c r="T96" s="4">
        <v>3505</v>
      </c>
      <c r="V96" s="4">
        <v>19304</v>
      </c>
      <c r="X96" s="4">
        <v>0</v>
      </c>
      <c r="Z96" s="4">
        <v>0</v>
      </c>
      <c r="AB96" s="4">
        <v>0</v>
      </c>
      <c r="AD96" s="4">
        <v>0</v>
      </c>
      <c r="AF96" s="4">
        <v>2053</v>
      </c>
      <c r="AH96" s="4">
        <f>SUM(F96:AF96)</f>
        <v>476531</v>
      </c>
    </row>
    <row r="97" spans="1:66" s="4" customFormat="1">
      <c r="A97" s="4">
        <v>155</v>
      </c>
      <c r="B97" s="4" t="s">
        <v>429</v>
      </c>
      <c r="D97" s="4" t="s">
        <v>20</v>
      </c>
      <c r="F97" s="4">
        <f>1060010+917821</f>
        <v>1977831</v>
      </c>
      <c r="H97" s="4">
        <v>0</v>
      </c>
      <c r="J97" s="4">
        <v>0</v>
      </c>
      <c r="L97" s="4">
        <v>141256</v>
      </c>
      <c r="N97" s="4">
        <v>0</v>
      </c>
      <c r="P97" s="4">
        <v>53898</v>
      </c>
      <c r="R97" s="4">
        <v>0</v>
      </c>
      <c r="T97" s="4">
        <v>15418</v>
      </c>
      <c r="V97" s="4">
        <v>106934</v>
      </c>
      <c r="X97" s="4">
        <v>3943</v>
      </c>
      <c r="Z97" s="4">
        <v>0</v>
      </c>
      <c r="AB97" s="4">
        <v>189244</v>
      </c>
      <c r="AD97" s="4">
        <v>0</v>
      </c>
      <c r="AF97" s="4">
        <v>0</v>
      </c>
      <c r="AH97" s="4">
        <f>SUM(F97:AF97)</f>
        <v>2488524</v>
      </c>
    </row>
    <row r="98" spans="1:66" s="4" customFormat="1">
      <c r="A98" s="4">
        <v>142</v>
      </c>
      <c r="B98" s="4" t="s">
        <v>135</v>
      </c>
      <c r="D98" s="4" t="s">
        <v>57</v>
      </c>
      <c r="F98" s="4">
        <v>1000407</v>
      </c>
      <c r="H98" s="4">
        <v>2487443</v>
      </c>
      <c r="J98" s="4">
        <v>0</v>
      </c>
      <c r="L98" s="4">
        <v>0</v>
      </c>
      <c r="N98" s="4">
        <v>0</v>
      </c>
      <c r="P98" s="4">
        <v>103732</v>
      </c>
      <c r="R98" s="4">
        <v>0</v>
      </c>
      <c r="T98" s="4">
        <v>40152</v>
      </c>
      <c r="V98" s="4">
        <f>55397+41285</f>
        <v>96682</v>
      </c>
      <c r="X98" s="4">
        <f>1182+4</f>
        <v>1186</v>
      </c>
      <c r="Z98" s="4">
        <v>0</v>
      </c>
      <c r="AB98" s="4">
        <f>430000+58247</f>
        <v>488247</v>
      </c>
      <c r="AD98" s="4">
        <v>0</v>
      </c>
      <c r="AF98" s="4">
        <v>0</v>
      </c>
      <c r="AH98" s="4">
        <f>SUM(F98:AF98)</f>
        <v>4217849</v>
      </c>
    </row>
    <row r="99" spans="1:66" s="4" customFormat="1">
      <c r="A99" s="4">
        <v>53</v>
      </c>
      <c r="B99" s="4" t="s">
        <v>18</v>
      </c>
      <c r="D99" s="4" t="s">
        <v>19</v>
      </c>
      <c r="F99" s="4">
        <v>2932336</v>
      </c>
      <c r="H99" s="4">
        <v>0</v>
      </c>
      <c r="J99" s="4">
        <v>0</v>
      </c>
      <c r="L99" s="4">
        <f>2123402+850</f>
        <v>2124252</v>
      </c>
      <c r="N99" s="4">
        <v>0</v>
      </c>
      <c r="P99" s="4">
        <v>112991</v>
      </c>
      <c r="R99" s="4">
        <v>0</v>
      </c>
      <c r="T99" s="4">
        <v>925</v>
      </c>
      <c r="V99" s="4">
        <v>163137</v>
      </c>
      <c r="X99" s="4">
        <v>19176</v>
      </c>
      <c r="Z99" s="4">
        <v>0</v>
      </c>
      <c r="AB99" s="4">
        <v>0</v>
      </c>
      <c r="AD99" s="4">
        <v>0</v>
      </c>
      <c r="AF99" s="4">
        <v>0</v>
      </c>
      <c r="AH99" s="4">
        <f>SUM(F99:AF99)</f>
        <v>5352817</v>
      </c>
    </row>
    <row r="100" spans="1:66" s="4" customFormat="1">
      <c r="A100" s="4">
        <v>84</v>
      </c>
      <c r="B100" s="4" t="s">
        <v>136</v>
      </c>
      <c r="D100" s="4" t="s">
        <v>42</v>
      </c>
      <c r="F100" s="4">
        <v>0</v>
      </c>
      <c r="H100" s="4">
        <v>293467</v>
      </c>
      <c r="J100" s="4">
        <v>0</v>
      </c>
      <c r="L100" s="4">
        <v>0</v>
      </c>
      <c r="N100" s="4">
        <v>0</v>
      </c>
      <c r="P100" s="4">
        <v>8888</v>
      </c>
      <c r="R100" s="4">
        <v>0</v>
      </c>
      <c r="T100" s="4">
        <v>2971</v>
      </c>
      <c r="V100" s="4">
        <v>1235</v>
      </c>
      <c r="X100" s="4">
        <v>6919</v>
      </c>
      <c r="Z100" s="4">
        <v>0</v>
      </c>
      <c r="AB100" s="4">
        <v>0</v>
      </c>
      <c r="AD100" s="4">
        <v>0</v>
      </c>
      <c r="AF100" s="4">
        <v>0</v>
      </c>
      <c r="AH100" s="4">
        <f>SUM(F100:AF100)</f>
        <v>313480</v>
      </c>
    </row>
    <row r="101" spans="1:66" s="4" customFormat="1">
      <c r="A101" s="4">
        <v>70</v>
      </c>
      <c r="B101" s="4" t="s">
        <v>437</v>
      </c>
      <c r="D101" s="4" t="s">
        <v>67</v>
      </c>
      <c r="F101" s="4">
        <v>911113</v>
      </c>
      <c r="H101" s="4">
        <v>2808661</v>
      </c>
      <c r="J101" s="4">
        <v>0</v>
      </c>
      <c r="L101" s="4">
        <v>1687</v>
      </c>
      <c r="N101" s="4">
        <v>0</v>
      </c>
      <c r="P101" s="4">
        <v>172661</v>
      </c>
      <c r="R101" s="4">
        <v>0</v>
      </c>
      <c r="T101" s="4">
        <v>3447</v>
      </c>
      <c r="V101" s="4">
        <v>21480</v>
      </c>
      <c r="X101" s="4">
        <v>1973</v>
      </c>
      <c r="Z101" s="4">
        <v>0</v>
      </c>
      <c r="AB101" s="4">
        <v>114958</v>
      </c>
      <c r="AD101" s="4">
        <v>0</v>
      </c>
      <c r="AF101" s="4">
        <v>385000</v>
      </c>
      <c r="AH101" s="4">
        <f>SUM(F101:AF101)</f>
        <v>4420980</v>
      </c>
    </row>
    <row r="102" spans="1:66" s="4" customFormat="1">
      <c r="A102" s="4">
        <v>123</v>
      </c>
      <c r="B102" s="4" t="s">
        <v>137</v>
      </c>
      <c r="D102" s="4" t="s">
        <v>15</v>
      </c>
      <c r="F102" s="4">
        <v>119728</v>
      </c>
      <c r="H102" s="4">
        <v>285472</v>
      </c>
      <c r="J102" s="4">
        <v>0</v>
      </c>
      <c r="L102" s="4">
        <v>0</v>
      </c>
      <c r="N102" s="4">
        <v>0</v>
      </c>
      <c r="P102" s="4">
        <v>2538</v>
      </c>
      <c r="R102" s="4">
        <v>0</v>
      </c>
      <c r="T102" s="4">
        <v>8186</v>
      </c>
      <c r="V102" s="4">
        <v>5130</v>
      </c>
      <c r="X102" s="4">
        <v>4764</v>
      </c>
      <c r="Z102" s="4">
        <v>0</v>
      </c>
      <c r="AB102" s="4">
        <v>0</v>
      </c>
      <c r="AD102" s="4">
        <v>0</v>
      </c>
      <c r="AF102" s="4">
        <v>0</v>
      </c>
      <c r="AH102" s="4">
        <f>SUM(F102:AF102)</f>
        <v>425818</v>
      </c>
    </row>
    <row r="103" spans="1:66" s="4" customFormat="1">
      <c r="A103" s="4">
        <v>93</v>
      </c>
      <c r="B103" s="4" t="s">
        <v>599</v>
      </c>
      <c r="D103" s="4" t="s">
        <v>139</v>
      </c>
      <c r="F103" s="4">
        <v>0</v>
      </c>
      <c r="H103" s="4">
        <v>2472731</v>
      </c>
      <c r="J103" s="4">
        <v>0</v>
      </c>
      <c r="L103" s="4">
        <v>979588</v>
      </c>
      <c r="N103" s="4">
        <v>0</v>
      </c>
      <c r="P103" s="4">
        <v>90867</v>
      </c>
      <c r="R103" s="4">
        <v>0</v>
      </c>
      <c r="T103" s="4">
        <v>15021</v>
      </c>
      <c r="V103" s="4">
        <v>57763</v>
      </c>
      <c r="X103" s="4">
        <v>678663</v>
      </c>
      <c r="Z103" s="4">
        <v>0</v>
      </c>
      <c r="AB103" s="4">
        <v>434706</v>
      </c>
      <c r="AD103" s="4">
        <v>1000000</v>
      </c>
      <c r="AF103" s="4">
        <v>0</v>
      </c>
      <c r="AH103" s="4">
        <f>SUM(F103:AF103)</f>
        <v>5729339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4" customFormat="1">
      <c r="A104" s="4">
        <v>97</v>
      </c>
      <c r="B104" s="4" t="s">
        <v>140</v>
      </c>
      <c r="D104" s="4" t="s">
        <v>61</v>
      </c>
      <c r="F104" s="4">
        <v>0</v>
      </c>
      <c r="H104" s="4">
        <v>109412</v>
      </c>
      <c r="J104" s="4">
        <v>0</v>
      </c>
      <c r="L104" s="4">
        <v>1500</v>
      </c>
      <c r="N104" s="4">
        <v>0</v>
      </c>
      <c r="P104" s="4">
        <v>2478</v>
      </c>
      <c r="R104" s="4">
        <v>0</v>
      </c>
      <c r="T104" s="4">
        <v>8971</v>
      </c>
      <c r="V104" s="4">
        <v>803</v>
      </c>
      <c r="X104" s="4">
        <v>1498</v>
      </c>
      <c r="Z104" s="4">
        <v>0</v>
      </c>
      <c r="AB104" s="4">
        <v>0</v>
      </c>
      <c r="AD104" s="4">
        <v>0</v>
      </c>
      <c r="AF104" s="4">
        <v>0</v>
      </c>
      <c r="AH104" s="4">
        <f>SUM(F104:AF104)</f>
        <v>124662</v>
      </c>
    </row>
    <row r="105" spans="1:66" s="4" customFormat="1">
      <c r="A105" s="4">
        <v>159</v>
      </c>
      <c r="B105" s="4" t="s">
        <v>141</v>
      </c>
      <c r="D105" s="4" t="s">
        <v>50</v>
      </c>
      <c r="F105" s="4">
        <v>0</v>
      </c>
      <c r="H105" s="4">
        <v>110401</v>
      </c>
      <c r="J105" s="4">
        <v>0</v>
      </c>
      <c r="L105" s="4">
        <v>0</v>
      </c>
      <c r="N105" s="4">
        <v>0</v>
      </c>
      <c r="P105" s="4">
        <v>2541</v>
      </c>
      <c r="R105" s="4">
        <v>0</v>
      </c>
      <c r="T105" s="4">
        <v>7046</v>
      </c>
      <c r="V105" s="4">
        <v>208</v>
      </c>
      <c r="X105" s="4">
        <v>1023</v>
      </c>
      <c r="Z105" s="4">
        <v>0</v>
      </c>
      <c r="AB105" s="4">
        <v>0</v>
      </c>
      <c r="AD105" s="4">
        <v>0</v>
      </c>
      <c r="AF105" s="4">
        <v>0</v>
      </c>
      <c r="AH105" s="4">
        <f>SUM(F105:AF105)</f>
        <v>121219</v>
      </c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4" customFormat="1">
      <c r="A106" s="4">
        <v>240</v>
      </c>
      <c r="B106" s="4" t="s">
        <v>142</v>
      </c>
      <c r="D106" s="4" t="s">
        <v>54</v>
      </c>
      <c r="F106" s="4">
        <v>0</v>
      </c>
      <c r="H106" s="4">
        <v>1299028</v>
      </c>
      <c r="J106" s="4">
        <v>0</v>
      </c>
      <c r="L106" s="4">
        <v>0</v>
      </c>
      <c r="N106" s="4">
        <v>0</v>
      </c>
      <c r="P106" s="4">
        <v>54224</v>
      </c>
      <c r="R106" s="4">
        <v>0</v>
      </c>
      <c r="T106" s="4">
        <v>117911</v>
      </c>
      <c r="V106" s="4">
        <v>44546</v>
      </c>
      <c r="X106" s="4">
        <v>253</v>
      </c>
      <c r="Z106" s="4">
        <v>0</v>
      </c>
      <c r="AB106" s="4">
        <v>255370</v>
      </c>
      <c r="AD106" s="4">
        <v>0</v>
      </c>
      <c r="AF106" s="4">
        <v>0</v>
      </c>
      <c r="AH106" s="4">
        <f>SUM(F106:AF106)</f>
        <v>1771332</v>
      </c>
    </row>
    <row r="107" spans="1:66" s="4" customFormat="1">
      <c r="A107" s="4">
        <v>48</v>
      </c>
      <c r="B107" s="4" t="s">
        <v>143</v>
      </c>
      <c r="D107" s="4" t="s">
        <v>52</v>
      </c>
      <c r="F107" s="4">
        <v>0</v>
      </c>
      <c r="H107" s="4">
        <v>629480</v>
      </c>
      <c r="J107" s="4">
        <v>0</v>
      </c>
      <c r="L107" s="4">
        <v>0</v>
      </c>
      <c r="N107" s="4">
        <v>0</v>
      </c>
      <c r="P107" s="4">
        <v>21852</v>
      </c>
      <c r="R107" s="4">
        <v>76</v>
      </c>
      <c r="T107" s="4">
        <v>49855</v>
      </c>
      <c r="V107" s="4">
        <v>73041</v>
      </c>
      <c r="X107" s="4">
        <v>410</v>
      </c>
      <c r="Z107" s="4">
        <v>0</v>
      </c>
      <c r="AB107" s="4">
        <v>0</v>
      </c>
      <c r="AD107" s="4">
        <v>0</v>
      </c>
      <c r="AF107" s="4">
        <v>0</v>
      </c>
      <c r="AH107" s="4">
        <f>SUM(F107:AF107)</f>
        <v>774714</v>
      </c>
    </row>
    <row r="108" spans="1:66" s="4" customFormat="1">
      <c r="A108" s="4">
        <v>190</v>
      </c>
      <c r="B108" s="4" t="s">
        <v>144</v>
      </c>
      <c r="D108" s="4" t="s">
        <v>145</v>
      </c>
      <c r="F108" s="4">
        <v>0</v>
      </c>
      <c r="H108" s="4">
        <v>953010</v>
      </c>
      <c r="J108" s="4">
        <v>0</v>
      </c>
      <c r="L108" s="4">
        <v>0</v>
      </c>
      <c r="N108" s="4">
        <v>0</v>
      </c>
      <c r="P108" s="4">
        <v>31856</v>
      </c>
      <c r="R108" s="4">
        <v>0</v>
      </c>
      <c r="T108" s="4">
        <v>5976</v>
      </c>
      <c r="V108" s="4">
        <v>12197</v>
      </c>
      <c r="X108" s="4">
        <v>23168</v>
      </c>
      <c r="Z108" s="4">
        <v>0</v>
      </c>
      <c r="AB108" s="4">
        <v>0</v>
      </c>
      <c r="AD108" s="4">
        <v>0</v>
      </c>
      <c r="AF108" s="4">
        <v>0</v>
      </c>
      <c r="AH108" s="4">
        <f>SUM(F108:AF108)</f>
        <v>1026207</v>
      </c>
    </row>
    <row r="109" spans="1:66" s="4" customFormat="1">
      <c r="A109" s="4">
        <v>90</v>
      </c>
      <c r="B109" s="4" t="s">
        <v>146</v>
      </c>
      <c r="D109" s="4" t="s">
        <v>17</v>
      </c>
      <c r="F109" s="4">
        <v>2491597</v>
      </c>
      <c r="H109" s="4">
        <v>3245481</v>
      </c>
      <c r="J109" s="4">
        <v>0</v>
      </c>
      <c r="L109" s="4">
        <v>468506</v>
      </c>
      <c r="N109" s="4">
        <v>0</v>
      </c>
      <c r="P109" s="4">
        <v>153719</v>
      </c>
      <c r="R109" s="4">
        <v>25325</v>
      </c>
      <c r="T109" s="4">
        <v>23222</v>
      </c>
      <c r="V109" s="4">
        <v>35417</v>
      </c>
      <c r="X109" s="4">
        <v>15984</v>
      </c>
      <c r="Z109" s="4">
        <v>0</v>
      </c>
      <c r="AB109" s="4">
        <v>497923</v>
      </c>
      <c r="AD109" s="4">
        <v>0</v>
      </c>
      <c r="AF109" s="4">
        <v>0</v>
      </c>
      <c r="AH109" s="4">
        <f>SUM(F109:AF109)</f>
        <v>6957174</v>
      </c>
    </row>
    <row r="110" spans="1:66" s="4" customFormat="1">
      <c r="A110" s="4">
        <v>170</v>
      </c>
      <c r="B110" s="4" t="s">
        <v>147</v>
      </c>
      <c r="D110" s="4" t="s">
        <v>55</v>
      </c>
      <c r="F110" s="4">
        <v>0</v>
      </c>
      <c r="H110" s="4">
        <v>840494</v>
      </c>
      <c r="J110" s="4">
        <v>0</v>
      </c>
      <c r="L110" s="4">
        <v>0</v>
      </c>
      <c r="N110" s="4">
        <v>0</v>
      </c>
      <c r="P110" s="4">
        <v>14086</v>
      </c>
      <c r="R110" s="4">
        <v>0</v>
      </c>
      <c r="T110" s="4">
        <v>15526</v>
      </c>
      <c r="V110" s="4">
        <v>34998</v>
      </c>
      <c r="X110" s="4">
        <v>2892</v>
      </c>
      <c r="Z110" s="4">
        <v>0</v>
      </c>
      <c r="AB110" s="4">
        <v>25000</v>
      </c>
      <c r="AD110" s="4">
        <v>0</v>
      </c>
      <c r="AF110" s="4">
        <v>0</v>
      </c>
      <c r="AH110" s="4">
        <f>SUM(F110:AF110)</f>
        <v>932996</v>
      </c>
    </row>
    <row r="111" spans="1:66" s="4" customFormat="1">
      <c r="A111" s="4">
        <v>224</v>
      </c>
      <c r="B111" s="4" t="s">
        <v>34</v>
      </c>
      <c r="D111" s="4" t="s">
        <v>56</v>
      </c>
      <c r="F111" s="4">
        <v>0</v>
      </c>
      <c r="H111" s="4">
        <v>0</v>
      </c>
      <c r="J111" s="4">
        <v>0</v>
      </c>
      <c r="L111" s="4">
        <v>808222</v>
      </c>
      <c r="N111" s="4">
        <v>0</v>
      </c>
      <c r="P111" s="4">
        <v>11102</v>
      </c>
      <c r="R111" s="4">
        <v>0</v>
      </c>
      <c r="T111" s="4">
        <v>5535</v>
      </c>
      <c r="V111" s="4">
        <v>25373</v>
      </c>
      <c r="X111" s="4">
        <v>5308</v>
      </c>
      <c r="Z111" s="4">
        <v>0</v>
      </c>
      <c r="AB111" s="4">
        <v>0</v>
      </c>
      <c r="AD111" s="4">
        <v>0</v>
      </c>
      <c r="AF111" s="4">
        <v>0</v>
      </c>
      <c r="AH111" s="4">
        <f>SUM(F111:AF111)</f>
        <v>855540</v>
      </c>
    </row>
    <row r="112" spans="1:66" s="4" customFormat="1">
      <c r="A112" s="4">
        <v>143</v>
      </c>
      <c r="B112" s="4" t="s">
        <v>148</v>
      </c>
      <c r="D112" s="4" t="s">
        <v>57</v>
      </c>
      <c r="F112" s="4">
        <v>0</v>
      </c>
      <c r="H112" s="4">
        <v>595831</v>
      </c>
      <c r="J112" s="4">
        <v>0</v>
      </c>
      <c r="L112" s="4">
        <v>8005</v>
      </c>
      <c r="N112" s="4">
        <v>0</v>
      </c>
      <c r="P112" s="4">
        <v>22154</v>
      </c>
      <c r="R112" s="4">
        <v>0</v>
      </c>
      <c r="T112" s="4">
        <v>2199</v>
      </c>
      <c r="V112" s="4">
        <v>13717</v>
      </c>
      <c r="X112" s="4">
        <v>3056</v>
      </c>
      <c r="Z112" s="4">
        <v>0</v>
      </c>
      <c r="AB112" s="4">
        <v>0</v>
      </c>
      <c r="AD112" s="4">
        <v>0</v>
      </c>
      <c r="AF112" s="4">
        <v>0</v>
      </c>
      <c r="AH112" s="4">
        <f>SUM(F112:AF112)</f>
        <v>644962</v>
      </c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4" customFormat="1">
      <c r="A113" s="4">
        <v>11</v>
      </c>
      <c r="B113" s="4" t="s">
        <v>304</v>
      </c>
      <c r="D113" s="4" t="s">
        <v>43</v>
      </c>
      <c r="F113" s="4">
        <v>0</v>
      </c>
      <c r="H113" s="4">
        <v>181659</v>
      </c>
      <c r="J113" s="4">
        <v>0</v>
      </c>
      <c r="L113" s="4">
        <v>0</v>
      </c>
      <c r="N113" s="4">
        <v>0</v>
      </c>
      <c r="P113" s="4">
        <v>13757</v>
      </c>
      <c r="R113" s="4">
        <v>0</v>
      </c>
      <c r="T113" s="4">
        <v>2249</v>
      </c>
      <c r="V113" s="4">
        <v>13218</v>
      </c>
      <c r="X113" s="4">
        <v>11340</v>
      </c>
      <c r="Z113" s="4">
        <v>0</v>
      </c>
      <c r="AB113" s="4">
        <v>0</v>
      </c>
      <c r="AD113" s="4">
        <v>0</v>
      </c>
      <c r="AF113" s="4">
        <v>0</v>
      </c>
      <c r="AH113" s="4">
        <f>SUM(F113:AF113)</f>
        <v>222223</v>
      </c>
    </row>
    <row r="114" spans="1:66" s="4" customFormat="1">
      <c r="A114" s="4">
        <v>77</v>
      </c>
      <c r="B114" s="4" t="s">
        <v>149</v>
      </c>
      <c r="D114" s="4" t="s">
        <v>92</v>
      </c>
      <c r="F114" s="4">
        <v>789025</v>
      </c>
      <c r="H114" s="4">
        <v>1710526</v>
      </c>
      <c r="J114" s="4">
        <v>0</v>
      </c>
      <c r="L114" s="4">
        <v>173498</v>
      </c>
      <c r="N114" s="4">
        <v>0</v>
      </c>
      <c r="P114" s="4">
        <v>79235</v>
      </c>
      <c r="R114" s="4">
        <v>5627</v>
      </c>
      <c r="T114" s="4">
        <v>19851</v>
      </c>
      <c r="V114" s="4">
        <v>23229</v>
      </c>
      <c r="X114" s="4">
        <v>212072</v>
      </c>
      <c r="Z114" s="4">
        <v>0</v>
      </c>
      <c r="AB114" s="4">
        <v>200000</v>
      </c>
      <c r="AD114" s="4">
        <v>0</v>
      </c>
      <c r="AF114" s="4">
        <v>0</v>
      </c>
      <c r="AH114" s="4">
        <f>SUM(F114:AF114)</f>
        <v>3213063</v>
      </c>
    </row>
    <row r="115" spans="1:66" s="4" customFormat="1">
      <c r="A115" s="4">
        <v>132</v>
      </c>
      <c r="B115" s="4" t="s">
        <v>150</v>
      </c>
      <c r="D115" s="4" t="s">
        <v>41</v>
      </c>
      <c r="F115" s="4">
        <v>0</v>
      </c>
      <c r="H115" s="4">
        <v>740980</v>
      </c>
      <c r="J115" s="4">
        <v>0</v>
      </c>
      <c r="L115" s="4">
        <v>0</v>
      </c>
      <c r="N115" s="4">
        <v>0</v>
      </c>
      <c r="P115" s="4">
        <v>38498</v>
      </c>
      <c r="R115" s="4">
        <v>0</v>
      </c>
      <c r="T115" s="4">
        <v>35664</v>
      </c>
      <c r="V115" s="4">
        <v>73853</v>
      </c>
      <c r="X115" s="4">
        <v>0</v>
      </c>
      <c r="Z115" s="4">
        <v>0</v>
      </c>
      <c r="AB115" s="4">
        <v>1045000</v>
      </c>
      <c r="AD115" s="4">
        <v>0</v>
      </c>
      <c r="AF115" s="4">
        <v>0</v>
      </c>
      <c r="AH115" s="4">
        <f>SUM(F115:AF115)</f>
        <v>1933995</v>
      </c>
    </row>
    <row r="116" spans="1:66" s="4" customFormat="1">
      <c r="A116" s="4">
        <v>91</v>
      </c>
      <c r="B116" s="4" t="s">
        <v>600</v>
      </c>
      <c r="D116" s="4" t="s">
        <v>152</v>
      </c>
      <c r="F116" s="4">
        <v>3376481</v>
      </c>
      <c r="H116" s="4">
        <v>0</v>
      </c>
      <c r="J116" s="4">
        <v>0</v>
      </c>
      <c r="L116" s="4">
        <f>5308332+6090</f>
        <v>5314422</v>
      </c>
      <c r="N116" s="4">
        <v>0</v>
      </c>
      <c r="P116" s="4">
        <v>186518</v>
      </c>
      <c r="R116" s="4">
        <v>0</v>
      </c>
      <c r="T116" s="4">
        <v>2659</v>
      </c>
      <c r="V116" s="4">
        <v>355697</v>
      </c>
      <c r="X116" s="4">
        <f>49625+6171</f>
        <v>55796</v>
      </c>
      <c r="Z116" s="4">
        <v>0</v>
      </c>
      <c r="AB116" s="4">
        <v>650000</v>
      </c>
      <c r="AD116" s="4">
        <v>0</v>
      </c>
      <c r="AF116" s="4">
        <v>0</v>
      </c>
      <c r="AH116" s="4">
        <f>SUM(F116:AF116)</f>
        <v>9941573</v>
      </c>
    </row>
    <row r="117" spans="1:66" s="4" customFormat="1">
      <c r="A117" s="4">
        <v>59</v>
      </c>
      <c r="B117" s="4" t="s">
        <v>153</v>
      </c>
      <c r="D117" s="4" t="s">
        <v>81</v>
      </c>
      <c r="F117" s="4">
        <v>0</v>
      </c>
      <c r="H117" s="4">
        <v>938515</v>
      </c>
      <c r="J117" s="4">
        <v>0</v>
      </c>
      <c r="L117" s="4">
        <v>0</v>
      </c>
      <c r="N117" s="4">
        <v>0</v>
      </c>
      <c r="P117" s="4">
        <v>14455</v>
      </c>
      <c r="R117" s="4">
        <v>0</v>
      </c>
      <c r="T117" s="4">
        <v>116998</v>
      </c>
      <c r="V117" s="4">
        <v>4624</v>
      </c>
      <c r="X117" s="4">
        <v>479479</v>
      </c>
      <c r="Z117" s="4">
        <v>0</v>
      </c>
      <c r="AB117" s="4">
        <v>0</v>
      </c>
      <c r="AD117" s="4">
        <v>0</v>
      </c>
      <c r="AF117" s="4">
        <v>944825</v>
      </c>
      <c r="AH117" s="4">
        <f>SUM(F117:AF117)</f>
        <v>2498896</v>
      </c>
    </row>
    <row r="118" spans="1:66" s="4" customFormat="1">
      <c r="A118" s="4">
        <v>92</v>
      </c>
      <c r="B118" s="4" t="s">
        <v>601</v>
      </c>
      <c r="D118" s="4" t="s">
        <v>154</v>
      </c>
      <c r="F118" s="4">
        <v>0</v>
      </c>
      <c r="H118" s="4">
        <v>1461677</v>
      </c>
      <c r="J118" s="4">
        <v>0</v>
      </c>
      <c r="L118" s="4">
        <v>0</v>
      </c>
      <c r="N118" s="4">
        <v>0</v>
      </c>
      <c r="P118" s="4">
        <v>35805</v>
      </c>
      <c r="R118" s="4">
        <v>0</v>
      </c>
      <c r="T118" s="4">
        <v>1266</v>
      </c>
      <c r="V118" s="4">
        <v>70690</v>
      </c>
      <c r="X118" s="4">
        <v>4758</v>
      </c>
      <c r="Z118" s="4">
        <v>2700</v>
      </c>
      <c r="AB118" s="4">
        <v>0</v>
      </c>
      <c r="AD118" s="4">
        <v>0</v>
      </c>
      <c r="AF118" s="4">
        <v>0</v>
      </c>
      <c r="AH118" s="4">
        <f>SUM(F118:AF118)</f>
        <v>1576896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4" customFormat="1">
      <c r="A119" s="4">
        <v>12</v>
      </c>
      <c r="B119" s="4" t="s">
        <v>155</v>
      </c>
      <c r="D119" s="4" t="s">
        <v>43</v>
      </c>
      <c r="F119" s="4">
        <v>102249</v>
      </c>
      <c r="H119" s="4">
        <v>406194</v>
      </c>
      <c r="J119" s="4">
        <v>0</v>
      </c>
      <c r="L119" s="4">
        <v>18841</v>
      </c>
      <c r="N119" s="4">
        <v>0</v>
      </c>
      <c r="P119" s="4">
        <v>10256</v>
      </c>
      <c r="R119" s="4">
        <v>0</v>
      </c>
      <c r="T119" s="4">
        <v>3605</v>
      </c>
      <c r="V119" s="4">
        <v>2210</v>
      </c>
      <c r="X119" s="4">
        <v>99</v>
      </c>
      <c r="Z119" s="4">
        <v>0</v>
      </c>
      <c r="AB119" s="4">
        <v>97624</v>
      </c>
      <c r="AD119" s="4">
        <v>0</v>
      </c>
      <c r="AF119" s="4">
        <v>0</v>
      </c>
      <c r="AH119" s="4">
        <f>SUM(F119:AF119)</f>
        <v>641078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4" customFormat="1">
      <c r="A120" s="4">
        <v>98</v>
      </c>
      <c r="B120" s="4" t="s">
        <v>156</v>
      </c>
      <c r="D120" s="4" t="s">
        <v>61</v>
      </c>
      <c r="F120" s="4">
        <v>0</v>
      </c>
      <c r="H120" s="4">
        <v>79162</v>
      </c>
      <c r="J120" s="4">
        <v>0</v>
      </c>
      <c r="L120" s="4">
        <v>0</v>
      </c>
      <c r="N120" s="4">
        <v>0</v>
      </c>
      <c r="P120" s="4">
        <v>1974</v>
      </c>
      <c r="R120" s="4">
        <v>0</v>
      </c>
      <c r="T120" s="4">
        <v>1455</v>
      </c>
      <c r="V120" s="4">
        <v>723</v>
      </c>
      <c r="X120" s="4">
        <v>5877</v>
      </c>
      <c r="Z120" s="4">
        <v>0</v>
      </c>
      <c r="AB120" s="4">
        <v>0</v>
      </c>
      <c r="AD120" s="4">
        <v>0</v>
      </c>
      <c r="AF120" s="4">
        <v>0</v>
      </c>
      <c r="AH120" s="4">
        <f>SUM(F120:AF120)</f>
        <v>89191</v>
      </c>
    </row>
    <row r="121" spans="1:66" s="4" customFormat="1">
      <c r="A121" s="4">
        <v>181</v>
      </c>
      <c r="B121" s="4" t="s">
        <v>157</v>
      </c>
      <c r="D121" s="4" t="s">
        <v>158</v>
      </c>
      <c r="F121" s="4">
        <v>0</v>
      </c>
      <c r="H121" s="4">
        <v>466815</v>
      </c>
      <c r="J121" s="4">
        <v>0</v>
      </c>
      <c r="L121" s="4">
        <v>0</v>
      </c>
      <c r="N121" s="4">
        <v>0</v>
      </c>
      <c r="P121" s="4">
        <v>17660</v>
      </c>
      <c r="R121" s="4">
        <v>0</v>
      </c>
      <c r="T121" s="4">
        <v>5074</v>
      </c>
      <c r="V121" s="4">
        <v>8759</v>
      </c>
      <c r="X121" s="4">
        <v>0</v>
      </c>
      <c r="Z121" s="4">
        <v>0</v>
      </c>
      <c r="AB121" s="4">
        <v>30000</v>
      </c>
      <c r="AD121" s="4">
        <v>0</v>
      </c>
      <c r="AF121" s="4">
        <v>0</v>
      </c>
      <c r="AH121" s="4">
        <f>SUM(F121:AF121)</f>
        <v>528308</v>
      </c>
    </row>
    <row r="122" spans="1:66" s="4" customFormat="1">
      <c r="A122" s="4">
        <v>13</v>
      </c>
      <c r="B122" s="4" t="s">
        <v>305</v>
      </c>
      <c r="D122" s="4" t="s">
        <v>43</v>
      </c>
      <c r="F122" s="4">
        <v>0</v>
      </c>
      <c r="H122" s="4">
        <v>314963</v>
      </c>
      <c r="J122" s="4">
        <v>0</v>
      </c>
      <c r="L122" s="4">
        <v>57627</v>
      </c>
      <c r="N122" s="4">
        <v>0</v>
      </c>
      <c r="P122" s="4">
        <v>18687</v>
      </c>
      <c r="R122" s="4">
        <v>0</v>
      </c>
      <c r="T122" s="4">
        <v>24935</v>
      </c>
      <c r="V122" s="4">
        <v>1344</v>
      </c>
      <c r="X122" s="4">
        <v>13226</v>
      </c>
      <c r="Z122" s="4">
        <v>11162</v>
      </c>
      <c r="AB122" s="4">
        <v>2500</v>
      </c>
      <c r="AD122" s="4">
        <v>0</v>
      </c>
      <c r="AF122" s="4">
        <v>0</v>
      </c>
      <c r="AH122" s="4">
        <f>SUM(F122:AF122)</f>
        <v>444444</v>
      </c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66" s="4" customFormat="1">
      <c r="A123" s="4">
        <v>239</v>
      </c>
      <c r="B123" s="4" t="s">
        <v>159</v>
      </c>
      <c r="D123" s="4" t="s">
        <v>160</v>
      </c>
      <c r="F123" s="4">
        <v>68397</v>
      </c>
      <c r="H123" s="4">
        <v>426972</v>
      </c>
      <c r="J123" s="4">
        <v>0</v>
      </c>
      <c r="L123" s="4">
        <v>9110</v>
      </c>
      <c r="N123" s="4">
        <v>0</v>
      </c>
      <c r="P123" s="4">
        <v>9464</v>
      </c>
      <c r="R123" s="4">
        <v>0</v>
      </c>
      <c r="T123" s="4">
        <v>131758</v>
      </c>
      <c r="V123" s="4">
        <v>70819</v>
      </c>
      <c r="X123" s="4">
        <v>7</v>
      </c>
      <c r="Z123" s="4">
        <v>0</v>
      </c>
      <c r="AB123" s="4">
        <v>200000</v>
      </c>
      <c r="AD123" s="4">
        <v>0</v>
      </c>
      <c r="AF123" s="4">
        <v>0</v>
      </c>
      <c r="AH123" s="4">
        <f>SUM(F123:AF123)</f>
        <v>916527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66" s="4" customFormat="1">
      <c r="A124" s="4">
        <v>144</v>
      </c>
      <c r="B124" s="4" t="s">
        <v>458</v>
      </c>
      <c r="D124" s="4" t="s">
        <v>57</v>
      </c>
      <c r="F124" s="4">
        <v>155746</v>
      </c>
      <c r="H124" s="4">
        <v>381251</v>
      </c>
      <c r="J124" s="4">
        <v>0</v>
      </c>
      <c r="L124" s="4">
        <v>21111</v>
      </c>
      <c r="N124" s="4">
        <v>0</v>
      </c>
      <c r="P124" s="4">
        <v>13944</v>
      </c>
      <c r="R124" s="4">
        <v>0</v>
      </c>
      <c r="T124" s="4">
        <v>20842</v>
      </c>
      <c r="V124" s="4">
        <v>33839</v>
      </c>
      <c r="X124" s="4">
        <v>72</v>
      </c>
      <c r="Z124" s="4">
        <v>0</v>
      </c>
      <c r="AB124" s="4">
        <v>21740</v>
      </c>
      <c r="AD124" s="4">
        <v>0</v>
      </c>
      <c r="AF124" s="4">
        <v>0</v>
      </c>
      <c r="AH124" s="4">
        <f>SUM(F124:AF124)</f>
        <v>648545</v>
      </c>
    </row>
    <row r="125" spans="1:66" s="4" customFormat="1">
      <c r="A125" s="4">
        <v>107</v>
      </c>
      <c r="B125" s="4" t="s">
        <v>161</v>
      </c>
      <c r="D125" s="4" t="s">
        <v>58</v>
      </c>
      <c r="F125" s="4">
        <v>1390165</v>
      </c>
      <c r="H125" s="4">
        <v>0</v>
      </c>
      <c r="J125" s="4">
        <v>0</v>
      </c>
      <c r="L125" s="4">
        <v>0</v>
      </c>
      <c r="N125" s="4">
        <v>0</v>
      </c>
      <c r="P125" s="4">
        <v>68020</v>
      </c>
      <c r="R125" s="4">
        <v>0</v>
      </c>
      <c r="T125" s="4">
        <v>57981</v>
      </c>
      <c r="V125" s="4">
        <v>101715</v>
      </c>
      <c r="X125" s="4">
        <v>2315</v>
      </c>
      <c r="Z125" s="4">
        <v>0</v>
      </c>
      <c r="AB125" s="4">
        <v>165</v>
      </c>
      <c r="AD125" s="4">
        <v>0</v>
      </c>
      <c r="AF125" s="4">
        <v>0</v>
      </c>
      <c r="AH125" s="4">
        <f>SUM(F125:AF125)</f>
        <v>1620361</v>
      </c>
    </row>
    <row r="126" spans="1:66" s="4" customFormat="1">
      <c r="A126" s="4">
        <v>103</v>
      </c>
      <c r="B126" s="4" t="s">
        <v>162</v>
      </c>
      <c r="D126" s="4" t="s">
        <v>60</v>
      </c>
      <c r="F126" s="4">
        <v>122363</v>
      </c>
      <c r="H126" s="4">
        <v>0</v>
      </c>
      <c r="J126" s="4">
        <v>0</v>
      </c>
      <c r="L126" s="4">
        <v>0</v>
      </c>
      <c r="N126" s="4">
        <v>0</v>
      </c>
      <c r="P126" s="4">
        <v>204</v>
      </c>
      <c r="R126" s="4">
        <v>0</v>
      </c>
      <c r="T126" s="4">
        <v>103823</v>
      </c>
      <c r="V126" s="4">
        <v>4680</v>
      </c>
      <c r="X126" s="4">
        <v>881</v>
      </c>
      <c r="Z126" s="4">
        <v>0</v>
      </c>
      <c r="AB126" s="4">
        <v>0</v>
      </c>
      <c r="AD126" s="4">
        <v>0</v>
      </c>
      <c r="AF126" s="4">
        <v>0</v>
      </c>
      <c r="AH126" s="4">
        <f>SUM(F126:AF126)</f>
        <v>231951</v>
      </c>
    </row>
    <row r="127" spans="1:66" s="4" customFormat="1">
      <c r="A127" s="4">
        <v>109</v>
      </c>
      <c r="B127" s="4" t="s">
        <v>602</v>
      </c>
      <c r="D127" s="4" t="s">
        <v>163</v>
      </c>
      <c r="F127" s="4">
        <v>0</v>
      </c>
      <c r="H127" s="4">
        <v>1257000</v>
      </c>
      <c r="J127" s="4">
        <v>0</v>
      </c>
      <c r="L127" s="4">
        <v>0</v>
      </c>
      <c r="N127" s="4">
        <v>0</v>
      </c>
      <c r="P127" s="4">
        <v>29703</v>
      </c>
      <c r="R127" s="4">
        <v>0</v>
      </c>
      <c r="T127" s="4">
        <v>82374</v>
      </c>
      <c r="V127" s="4">
        <v>30214</v>
      </c>
      <c r="X127" s="4">
        <v>16937</v>
      </c>
      <c r="Z127" s="4">
        <v>125</v>
      </c>
      <c r="AB127" s="4">
        <v>25000</v>
      </c>
      <c r="AD127" s="4">
        <v>0</v>
      </c>
      <c r="AF127" s="4">
        <v>0</v>
      </c>
      <c r="AH127" s="4">
        <f>SUM(F127:AF127)</f>
        <v>1441353</v>
      </c>
    </row>
    <row r="128" spans="1:66" s="4" customFormat="1">
      <c r="A128" s="4">
        <v>133</v>
      </c>
      <c r="B128" s="4" t="s">
        <v>306</v>
      </c>
      <c r="D128" s="4" t="s">
        <v>41</v>
      </c>
      <c r="F128" s="4">
        <v>0</v>
      </c>
      <c r="H128" s="4">
        <v>222294</v>
      </c>
      <c r="J128" s="4">
        <v>0</v>
      </c>
      <c r="L128" s="4">
        <v>2500</v>
      </c>
      <c r="N128" s="4">
        <v>0</v>
      </c>
      <c r="P128" s="4">
        <v>2554</v>
      </c>
      <c r="R128" s="4">
        <v>0</v>
      </c>
      <c r="T128" s="4">
        <v>2050</v>
      </c>
      <c r="V128" s="4">
        <v>4734</v>
      </c>
      <c r="X128" s="4">
        <v>5037</v>
      </c>
      <c r="Z128" s="4">
        <v>0</v>
      </c>
      <c r="AB128" s="4">
        <v>0</v>
      </c>
      <c r="AD128" s="4">
        <v>0</v>
      </c>
      <c r="AF128" s="4">
        <v>0</v>
      </c>
      <c r="AH128" s="4">
        <f>SUM(F128:AF128)</f>
        <v>239169</v>
      </c>
    </row>
    <row r="129" spans="1:66" s="4" customFormat="1">
      <c r="A129" s="4">
        <v>225</v>
      </c>
      <c r="B129" s="4" t="s">
        <v>459</v>
      </c>
      <c r="D129" s="4" t="s">
        <v>56</v>
      </c>
      <c r="F129" s="4">
        <v>0</v>
      </c>
      <c r="H129" s="4">
        <v>808222</v>
      </c>
      <c r="J129" s="4">
        <v>0</v>
      </c>
      <c r="L129" s="4">
        <v>1025</v>
      </c>
      <c r="N129" s="4">
        <v>0</v>
      </c>
      <c r="P129" s="4">
        <v>18345</v>
      </c>
      <c r="R129" s="4">
        <v>0</v>
      </c>
      <c r="T129" s="4">
        <v>13699</v>
      </c>
      <c r="V129" s="4">
        <v>13997</v>
      </c>
      <c r="X129" s="4">
        <v>579</v>
      </c>
      <c r="Z129" s="4">
        <v>0</v>
      </c>
      <c r="AB129" s="4">
        <v>0</v>
      </c>
      <c r="AD129" s="4">
        <v>0</v>
      </c>
      <c r="AF129" s="4">
        <v>0</v>
      </c>
      <c r="AH129" s="4">
        <f>SUM(F129:AF129)</f>
        <v>855867</v>
      </c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4" customFormat="1">
      <c r="A130" s="4">
        <v>218</v>
      </c>
      <c r="B130" s="4" t="s">
        <v>165</v>
      </c>
      <c r="D130" s="4" t="s">
        <v>22</v>
      </c>
      <c r="F130" s="4">
        <v>1392002</v>
      </c>
      <c r="H130" s="4">
        <v>1097684</v>
      </c>
      <c r="J130" s="4">
        <v>0</v>
      </c>
      <c r="L130" s="4">
        <v>0</v>
      </c>
      <c r="N130" s="4">
        <v>0</v>
      </c>
      <c r="P130" s="4">
        <v>60987</v>
      </c>
      <c r="R130" s="4">
        <v>16229</v>
      </c>
      <c r="T130" s="4">
        <v>0</v>
      </c>
      <c r="V130" s="4">
        <v>25927</v>
      </c>
      <c r="X130" s="4">
        <v>658</v>
      </c>
      <c r="Z130" s="4">
        <v>0</v>
      </c>
      <c r="AB130" s="4">
        <v>90000</v>
      </c>
      <c r="AD130" s="4">
        <v>0</v>
      </c>
      <c r="AF130" s="4">
        <v>0</v>
      </c>
      <c r="AH130" s="4">
        <f>SUM(F130:AF130)</f>
        <v>2683487</v>
      </c>
    </row>
    <row r="131" spans="1:66" s="4" customFormat="1">
      <c r="A131" s="4">
        <v>66</v>
      </c>
      <c r="B131" s="4" t="s">
        <v>166</v>
      </c>
      <c r="D131" s="4" t="s">
        <v>167</v>
      </c>
      <c r="F131" s="4">
        <v>285808</v>
      </c>
      <c r="H131" s="4">
        <v>388904</v>
      </c>
      <c r="J131" s="4">
        <v>0</v>
      </c>
      <c r="L131" s="4">
        <v>0</v>
      </c>
      <c r="N131" s="4">
        <v>0</v>
      </c>
      <c r="P131" s="4">
        <v>30026</v>
      </c>
      <c r="R131" s="4">
        <v>0</v>
      </c>
      <c r="T131" s="4">
        <v>16819</v>
      </c>
      <c r="V131" s="4">
        <v>8329</v>
      </c>
      <c r="X131" s="4">
        <v>6298</v>
      </c>
      <c r="Z131" s="4">
        <v>0</v>
      </c>
      <c r="AB131" s="4">
        <v>0</v>
      </c>
      <c r="AD131" s="4">
        <v>0</v>
      </c>
      <c r="AF131" s="4">
        <v>0</v>
      </c>
      <c r="AH131" s="4">
        <f>SUM(F131:AF131)</f>
        <v>736184</v>
      </c>
    </row>
    <row r="132" spans="1:66" s="4" customFormat="1">
      <c r="A132" s="4">
        <v>148</v>
      </c>
      <c r="B132" s="4" t="s">
        <v>37</v>
      </c>
      <c r="D132" s="4" t="s">
        <v>12</v>
      </c>
      <c r="F132" s="4">
        <v>0</v>
      </c>
      <c r="H132" s="4">
        <v>370489</v>
      </c>
      <c r="J132" s="4">
        <v>0</v>
      </c>
      <c r="L132" s="4">
        <v>0</v>
      </c>
      <c r="N132" s="4">
        <v>0</v>
      </c>
      <c r="P132" s="4">
        <v>9577</v>
      </c>
      <c r="R132" s="4">
        <v>0</v>
      </c>
      <c r="T132" s="4">
        <v>43626</v>
      </c>
      <c r="V132" s="4">
        <v>2675</v>
      </c>
      <c r="X132" s="4">
        <v>3124</v>
      </c>
      <c r="Z132" s="4">
        <v>0</v>
      </c>
      <c r="AB132" s="4">
        <v>0</v>
      </c>
      <c r="AD132" s="4">
        <v>0</v>
      </c>
      <c r="AF132" s="4">
        <v>0</v>
      </c>
      <c r="AH132" s="4">
        <f>SUM(F132:AF132)</f>
        <v>429491</v>
      </c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4" customFormat="1">
      <c r="A133" s="4">
        <v>182</v>
      </c>
      <c r="B133" s="4" t="s">
        <v>168</v>
      </c>
      <c r="D133" s="4" t="s">
        <v>158</v>
      </c>
      <c r="F133" s="4">
        <v>778026</v>
      </c>
      <c r="H133" s="4">
        <v>0</v>
      </c>
      <c r="J133" s="4">
        <v>0</v>
      </c>
      <c r="L133" s="4">
        <v>0</v>
      </c>
      <c r="N133" s="4">
        <v>0</v>
      </c>
      <c r="P133" s="4">
        <v>19276</v>
      </c>
      <c r="R133" s="4">
        <v>0</v>
      </c>
      <c r="T133" s="4">
        <v>11475</v>
      </c>
      <c r="V133" s="4">
        <f>7112+49+146</f>
        <v>7307</v>
      </c>
      <c r="X133" s="4">
        <v>3338</v>
      </c>
      <c r="Z133" s="4">
        <v>0</v>
      </c>
      <c r="AB133" s="4">
        <v>0</v>
      </c>
      <c r="AD133" s="4">
        <v>0</v>
      </c>
      <c r="AF133" s="4">
        <v>0</v>
      </c>
      <c r="AH133" s="4">
        <f>SUM(F133:AF133)</f>
        <v>819422</v>
      </c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4" customFormat="1">
      <c r="A134" s="4">
        <v>164</v>
      </c>
      <c r="B134" s="4" t="s">
        <v>339</v>
      </c>
      <c r="D134" s="4" t="s">
        <v>53</v>
      </c>
      <c r="F134" s="4">
        <v>0</v>
      </c>
      <c r="H134" s="4">
        <v>272196</v>
      </c>
      <c r="J134" s="4">
        <v>0</v>
      </c>
      <c r="L134" s="4">
        <v>0</v>
      </c>
      <c r="N134" s="4">
        <v>0</v>
      </c>
      <c r="P134" s="4">
        <v>4365</v>
      </c>
      <c r="R134" s="4">
        <v>0</v>
      </c>
      <c r="T134" s="4">
        <v>25635</v>
      </c>
      <c r="V134" s="4">
        <v>27443</v>
      </c>
      <c r="X134" s="4">
        <v>2742</v>
      </c>
      <c r="Z134" s="4">
        <v>0</v>
      </c>
      <c r="AB134" s="4">
        <v>0</v>
      </c>
      <c r="AD134" s="4">
        <v>0</v>
      </c>
      <c r="AF134" s="4">
        <v>0</v>
      </c>
      <c r="AH134" s="4">
        <f>SUM(F134:AF134)</f>
        <v>332381</v>
      </c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4" customFormat="1">
      <c r="A135" s="4">
        <v>115</v>
      </c>
      <c r="B135" s="4" t="s">
        <v>169</v>
      </c>
      <c r="D135" s="4" t="s">
        <v>170</v>
      </c>
      <c r="F135" s="4">
        <v>0</v>
      </c>
      <c r="H135" s="4">
        <v>482309</v>
      </c>
      <c r="J135" s="4">
        <v>0</v>
      </c>
      <c r="L135" s="4">
        <v>0</v>
      </c>
      <c r="N135" s="4">
        <v>0</v>
      </c>
      <c r="P135" s="4">
        <v>14828</v>
      </c>
      <c r="R135" s="4">
        <v>0</v>
      </c>
      <c r="T135" s="4">
        <v>9431</v>
      </c>
      <c r="V135" s="4">
        <v>25099</v>
      </c>
      <c r="X135" s="4">
        <v>5751</v>
      </c>
      <c r="Z135" s="4">
        <v>1590</v>
      </c>
      <c r="AB135" s="4">
        <v>0</v>
      </c>
      <c r="AD135" s="4">
        <v>0</v>
      </c>
      <c r="AF135" s="4">
        <v>0</v>
      </c>
      <c r="AH135" s="4">
        <f>SUM(F135:AF135)</f>
        <v>539008</v>
      </c>
    </row>
    <row r="136" spans="1:66" s="4" customFormat="1">
      <c r="A136" s="4">
        <v>173</v>
      </c>
      <c r="B136" s="4" t="s">
        <v>338</v>
      </c>
      <c r="D136" s="4" t="s">
        <v>59</v>
      </c>
      <c r="F136" s="4">
        <v>0</v>
      </c>
      <c r="H136" s="4">
        <v>520925</v>
      </c>
      <c r="J136" s="4">
        <v>0</v>
      </c>
      <c r="L136" s="4">
        <v>4000</v>
      </c>
      <c r="N136" s="4">
        <v>0</v>
      </c>
      <c r="P136" s="4">
        <v>16971</v>
      </c>
      <c r="R136" s="4">
        <v>0</v>
      </c>
      <c r="T136" s="4">
        <v>1028</v>
      </c>
      <c r="V136" s="4">
        <v>17142</v>
      </c>
      <c r="X136" s="4">
        <v>8810</v>
      </c>
      <c r="Z136" s="4">
        <v>0</v>
      </c>
      <c r="AB136" s="4">
        <v>0</v>
      </c>
      <c r="AD136" s="4">
        <v>0</v>
      </c>
      <c r="AF136" s="4">
        <v>0</v>
      </c>
      <c r="AH136" s="4">
        <f>SUM(F136:AF136)</f>
        <v>568876</v>
      </c>
    </row>
    <row r="137" spans="1:66" s="4" customFormat="1">
      <c r="A137" s="4">
        <v>205</v>
      </c>
      <c r="B137" s="4" t="s">
        <v>171</v>
      </c>
      <c r="D137" s="4" t="s">
        <v>45</v>
      </c>
      <c r="F137" s="4">
        <v>686254</v>
      </c>
      <c r="H137" s="4">
        <v>30000</v>
      </c>
      <c r="J137" s="4">
        <v>0</v>
      </c>
      <c r="L137" s="4">
        <v>0</v>
      </c>
      <c r="N137" s="4">
        <v>0</v>
      </c>
      <c r="P137" s="4">
        <v>14590</v>
      </c>
      <c r="R137" s="4">
        <v>0</v>
      </c>
      <c r="T137" s="4">
        <v>14875</v>
      </c>
      <c r="V137" s="4">
        <v>20179</v>
      </c>
      <c r="X137" s="4">
        <v>23834</v>
      </c>
      <c r="Z137" s="4">
        <v>0</v>
      </c>
      <c r="AB137" s="4">
        <v>0</v>
      </c>
      <c r="AD137" s="4">
        <v>0</v>
      </c>
      <c r="AF137" s="4">
        <v>0</v>
      </c>
      <c r="AH137" s="4">
        <f>SUM(F137:AF137)</f>
        <v>789732</v>
      </c>
    </row>
    <row r="138" spans="1:66" s="4" customFormat="1">
      <c r="A138" s="4">
        <v>191</v>
      </c>
      <c r="B138" s="4" t="s">
        <v>172</v>
      </c>
      <c r="D138" s="4" t="s">
        <v>173</v>
      </c>
      <c r="F138" s="4">
        <v>0</v>
      </c>
      <c r="H138" s="4">
        <v>1601669</v>
      </c>
      <c r="J138" s="4">
        <v>0</v>
      </c>
      <c r="L138" s="4">
        <v>2825</v>
      </c>
      <c r="N138" s="4">
        <v>0</v>
      </c>
      <c r="P138" s="4">
        <v>41602</v>
      </c>
      <c r="R138" s="4">
        <v>0</v>
      </c>
      <c r="T138" s="4">
        <v>50075</v>
      </c>
      <c r="V138" s="4">
        <v>50553</v>
      </c>
      <c r="X138" s="4">
        <v>1692</v>
      </c>
      <c r="Z138" s="4">
        <v>0</v>
      </c>
      <c r="AB138" s="4">
        <v>10000</v>
      </c>
      <c r="AD138" s="4">
        <v>0</v>
      </c>
      <c r="AF138" s="4">
        <v>0</v>
      </c>
      <c r="AH138" s="4">
        <f>SUM(F138:AF138)</f>
        <v>1758416</v>
      </c>
    </row>
    <row r="139" spans="1:66" s="4" customFormat="1">
      <c r="A139" s="4">
        <v>14</v>
      </c>
      <c r="B139" s="4" t="s">
        <v>174</v>
      </c>
      <c r="D139" s="4" t="s">
        <v>43</v>
      </c>
      <c r="F139" s="4">
        <v>103223</v>
      </c>
      <c r="H139" s="4">
        <v>267641</v>
      </c>
      <c r="J139" s="4">
        <v>0</v>
      </c>
      <c r="L139" s="4">
        <v>14603</v>
      </c>
      <c r="N139" s="4">
        <v>0</v>
      </c>
      <c r="P139" s="4">
        <v>5934</v>
      </c>
      <c r="R139" s="4">
        <v>1600</v>
      </c>
      <c r="T139" s="4">
        <v>4435</v>
      </c>
      <c r="V139" s="4">
        <v>3970</v>
      </c>
      <c r="X139" s="4">
        <v>10628</v>
      </c>
      <c r="Z139" s="4">
        <v>0</v>
      </c>
      <c r="AB139" s="4">
        <v>0</v>
      </c>
      <c r="AD139" s="4">
        <v>0</v>
      </c>
      <c r="AF139" s="4">
        <v>0</v>
      </c>
      <c r="AH139" s="4">
        <f>SUM(F139:AF139)</f>
        <v>412034</v>
      </c>
    </row>
    <row r="140" spans="1:66" s="4" customFormat="1">
      <c r="A140" s="4">
        <v>226</v>
      </c>
      <c r="B140" s="4" t="s">
        <v>175</v>
      </c>
      <c r="D140" s="4" t="s">
        <v>56</v>
      </c>
      <c r="F140" s="4">
        <v>0</v>
      </c>
      <c r="H140" s="4">
        <v>517194</v>
      </c>
      <c r="J140" s="4">
        <v>0</v>
      </c>
      <c r="L140" s="4">
        <v>0</v>
      </c>
      <c r="N140" s="4">
        <v>0</v>
      </c>
      <c r="P140" s="4">
        <v>14432</v>
      </c>
      <c r="R140" s="4">
        <v>0</v>
      </c>
      <c r="T140" s="4">
        <v>1185</v>
      </c>
      <c r="V140" s="4">
        <v>7800</v>
      </c>
      <c r="X140" s="4">
        <v>41</v>
      </c>
      <c r="Z140" s="4">
        <v>0</v>
      </c>
      <c r="AB140" s="4">
        <v>0</v>
      </c>
      <c r="AD140" s="4">
        <v>0</v>
      </c>
      <c r="AF140" s="4">
        <v>0</v>
      </c>
      <c r="AH140" s="4">
        <f>SUM(F140:AF140)</f>
        <v>540652</v>
      </c>
    </row>
    <row r="141" spans="1:66" s="4" customFormat="1">
      <c r="A141" s="4">
        <v>124</v>
      </c>
      <c r="B141" s="4" t="s">
        <v>176</v>
      </c>
      <c r="D141" s="4" t="s">
        <v>15</v>
      </c>
      <c r="F141" s="4">
        <v>351504</v>
      </c>
      <c r="H141" s="4">
        <v>484970</v>
      </c>
      <c r="J141" s="4">
        <v>0</v>
      </c>
      <c r="L141" s="4">
        <v>0</v>
      </c>
      <c r="N141" s="4">
        <v>0</v>
      </c>
      <c r="P141" s="4">
        <v>13912</v>
      </c>
      <c r="R141" s="4">
        <v>0</v>
      </c>
      <c r="T141" s="4">
        <v>14305</v>
      </c>
      <c r="V141" s="4">
        <v>10504</v>
      </c>
      <c r="X141" s="4">
        <v>994</v>
      </c>
      <c r="Z141" s="4">
        <v>0</v>
      </c>
      <c r="AB141" s="4">
        <v>2300</v>
      </c>
      <c r="AD141" s="4">
        <v>0</v>
      </c>
      <c r="AF141" s="4">
        <v>0</v>
      </c>
      <c r="AH141" s="4">
        <f>SUM(F141:AF141)</f>
        <v>878489</v>
      </c>
    </row>
    <row r="142" spans="1:66" s="4" customFormat="1">
      <c r="A142" s="4">
        <v>54</v>
      </c>
      <c r="B142" s="15" t="s">
        <v>438</v>
      </c>
      <c r="C142" s="15"/>
      <c r="D142" s="15" t="s">
        <v>19</v>
      </c>
      <c r="E142" s="15"/>
      <c r="F142" s="4">
        <v>2029670</v>
      </c>
      <c r="G142" s="15"/>
      <c r="H142" s="4">
        <v>0</v>
      </c>
      <c r="I142" s="15"/>
      <c r="J142" s="4">
        <v>0</v>
      </c>
      <c r="K142" s="15"/>
      <c r="L142" s="4">
        <v>2599585</v>
      </c>
      <c r="M142" s="15"/>
      <c r="N142" s="4">
        <v>0</v>
      </c>
      <c r="O142" s="15"/>
      <c r="P142" s="4">
        <v>86573</v>
      </c>
      <c r="Q142" s="15"/>
      <c r="R142" s="4">
        <v>0</v>
      </c>
      <c r="S142" s="15"/>
      <c r="T142" s="4">
        <v>13532</v>
      </c>
      <c r="U142" s="15"/>
      <c r="V142" s="4">
        <v>176355</v>
      </c>
      <c r="W142" s="15"/>
      <c r="X142" s="4">
        <v>6312</v>
      </c>
      <c r="Y142" s="15"/>
      <c r="Z142" s="4">
        <v>0</v>
      </c>
      <c r="AA142" s="15"/>
      <c r="AB142" s="4">
        <v>1036582</v>
      </c>
      <c r="AC142" s="15"/>
      <c r="AD142" s="4">
        <v>0</v>
      </c>
      <c r="AE142" s="15"/>
      <c r="AF142" s="4">
        <v>0</v>
      </c>
      <c r="AG142" s="15"/>
      <c r="AH142" s="4">
        <f>SUM(F142:AF142)</f>
        <v>5948609</v>
      </c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pans="1:66" s="4" customFormat="1">
      <c r="A143" s="4">
        <v>25</v>
      </c>
      <c r="B143" s="4" t="s">
        <v>9</v>
      </c>
      <c r="D143" s="4" t="s">
        <v>10</v>
      </c>
      <c r="F143" s="4">
        <v>0</v>
      </c>
      <c r="H143" s="4">
        <v>5904694</v>
      </c>
      <c r="J143" s="4">
        <v>0</v>
      </c>
      <c r="L143" s="4">
        <v>74725</v>
      </c>
      <c r="N143" s="4">
        <v>0</v>
      </c>
      <c r="P143" s="4">
        <v>237350</v>
      </c>
      <c r="R143" s="4">
        <v>0</v>
      </c>
      <c r="T143" s="4">
        <v>25181</v>
      </c>
      <c r="V143" s="4">
        <v>255907</v>
      </c>
      <c r="X143" s="4">
        <v>17146</v>
      </c>
      <c r="Z143" s="4">
        <v>1517</v>
      </c>
      <c r="AB143" s="4">
        <v>0</v>
      </c>
      <c r="AD143" s="4">
        <v>0</v>
      </c>
      <c r="AF143" s="4">
        <v>0</v>
      </c>
      <c r="AH143" s="4">
        <f>SUM(F143:AF143)</f>
        <v>6516520</v>
      </c>
    </row>
    <row r="144" spans="1:66" s="4" customFormat="1">
      <c r="A144" s="4">
        <v>241</v>
      </c>
      <c r="B144" s="4" t="s">
        <v>177</v>
      </c>
      <c r="D144" s="4" t="s">
        <v>54</v>
      </c>
      <c r="F144" s="4">
        <v>0</v>
      </c>
      <c r="H144" s="4">
        <v>833866</v>
      </c>
      <c r="J144" s="4">
        <v>0</v>
      </c>
      <c r="L144" s="4">
        <v>0</v>
      </c>
      <c r="N144" s="4">
        <v>0</v>
      </c>
      <c r="P144" s="4">
        <v>36518</v>
      </c>
      <c r="R144" s="4">
        <v>0</v>
      </c>
      <c r="T144" s="4">
        <v>7089</v>
      </c>
      <c r="V144" s="4">
        <v>84546</v>
      </c>
      <c r="X144" s="4">
        <v>1113</v>
      </c>
      <c r="Z144" s="4">
        <v>0</v>
      </c>
      <c r="AB144" s="4">
        <v>0</v>
      </c>
      <c r="AD144" s="4">
        <v>5208</v>
      </c>
      <c r="AF144" s="4">
        <v>0</v>
      </c>
      <c r="AH144" s="4">
        <f>SUM(F144:AF144)</f>
        <v>968340</v>
      </c>
    </row>
    <row r="145" spans="1:66" s="4" customFormat="1">
      <c r="A145" s="4">
        <v>41</v>
      </c>
      <c r="B145" s="4" t="s">
        <v>307</v>
      </c>
      <c r="D145" s="4" t="s">
        <v>51</v>
      </c>
      <c r="F145" s="4">
        <v>0</v>
      </c>
      <c r="H145" s="4">
        <v>324498</v>
      </c>
      <c r="J145" s="4">
        <v>0</v>
      </c>
      <c r="L145" s="4">
        <v>0</v>
      </c>
      <c r="N145" s="4">
        <v>0</v>
      </c>
      <c r="P145" s="4">
        <v>5793</v>
      </c>
      <c r="R145" s="4">
        <v>0</v>
      </c>
      <c r="T145" s="4">
        <v>0</v>
      </c>
      <c r="V145" s="4">
        <v>72400</v>
      </c>
      <c r="X145" s="4">
        <v>5893</v>
      </c>
      <c r="Z145" s="4">
        <v>0</v>
      </c>
      <c r="AB145" s="4">
        <v>104995</v>
      </c>
      <c r="AD145" s="4">
        <v>0</v>
      </c>
      <c r="AF145" s="4">
        <v>800000</v>
      </c>
      <c r="AH145" s="4">
        <f>SUM(F145:AF145)</f>
        <v>1313579</v>
      </c>
    </row>
    <row r="146" spans="1:66" s="4" customFormat="1">
      <c r="A146" s="4">
        <v>42</v>
      </c>
      <c r="B146" s="4" t="s">
        <v>178</v>
      </c>
      <c r="D146" s="4" t="s">
        <v>51</v>
      </c>
      <c r="F146" s="4">
        <v>0</v>
      </c>
      <c r="H146" s="4">
        <v>547004</v>
      </c>
      <c r="J146" s="4">
        <v>0</v>
      </c>
      <c r="L146" s="4">
        <v>0</v>
      </c>
      <c r="N146" s="4">
        <v>0</v>
      </c>
      <c r="P146" s="4">
        <v>8081</v>
      </c>
      <c r="R146" s="4">
        <v>0</v>
      </c>
      <c r="T146" s="4">
        <v>11631</v>
      </c>
      <c r="V146" s="4">
        <v>71078</v>
      </c>
      <c r="X146" s="4">
        <v>11686</v>
      </c>
      <c r="Z146" s="4">
        <v>0</v>
      </c>
      <c r="AB146" s="4">
        <v>0</v>
      </c>
      <c r="AD146" s="4">
        <v>0</v>
      </c>
      <c r="AF146" s="4">
        <v>0</v>
      </c>
      <c r="AH146" s="4">
        <f>SUM(F146:AF146)</f>
        <v>649480</v>
      </c>
    </row>
    <row r="147" spans="1:66" s="4" customFormat="1">
      <c r="A147" s="4">
        <v>104</v>
      </c>
      <c r="B147" s="4" t="s">
        <v>179</v>
      </c>
      <c r="D147" s="4" t="s">
        <v>60</v>
      </c>
      <c r="F147" s="4">
        <v>0</v>
      </c>
      <c r="H147" s="4">
        <v>171308</v>
      </c>
      <c r="J147" s="4">
        <v>0</v>
      </c>
      <c r="L147" s="4">
        <v>0</v>
      </c>
      <c r="N147" s="4">
        <v>0</v>
      </c>
      <c r="P147" s="4">
        <v>5630</v>
      </c>
      <c r="R147" s="4">
        <v>918</v>
      </c>
      <c r="T147" s="4">
        <v>5182</v>
      </c>
      <c r="V147" s="4">
        <v>369</v>
      </c>
      <c r="X147" s="4">
        <v>202</v>
      </c>
      <c r="Z147" s="4">
        <v>0</v>
      </c>
      <c r="AB147" s="4">
        <v>0</v>
      </c>
      <c r="AD147" s="4">
        <v>0</v>
      </c>
      <c r="AF147" s="4">
        <v>0</v>
      </c>
      <c r="AH147" s="4">
        <f>SUM(F147:AF147)</f>
        <v>183609</v>
      </c>
    </row>
    <row r="148" spans="1:66" s="4" customFormat="1">
      <c r="A148" s="4">
        <v>134</v>
      </c>
      <c r="B148" s="4" t="s">
        <v>574</v>
      </c>
      <c r="D148" s="4" t="s">
        <v>41</v>
      </c>
      <c r="F148" s="4">
        <v>467</v>
      </c>
      <c r="H148" s="4">
        <v>3062718</v>
      </c>
      <c r="J148" s="4">
        <v>0</v>
      </c>
      <c r="L148" s="4">
        <v>0</v>
      </c>
      <c r="N148" s="4">
        <v>0</v>
      </c>
      <c r="P148" s="4">
        <v>118050</v>
      </c>
      <c r="R148" s="4">
        <v>7250</v>
      </c>
      <c r="T148" s="4">
        <v>8111</v>
      </c>
      <c r="V148" s="4">
        <v>18662</v>
      </c>
      <c r="X148" s="4">
        <v>39744</v>
      </c>
      <c r="Z148" s="4">
        <v>0</v>
      </c>
      <c r="AB148" s="4">
        <v>760575</v>
      </c>
      <c r="AD148" s="4">
        <v>0</v>
      </c>
      <c r="AF148" s="4">
        <v>0</v>
      </c>
      <c r="AH148" s="4">
        <f>SUM(F148:AF148)</f>
        <v>4015577</v>
      </c>
    </row>
    <row r="149" spans="1:66" s="4" customFormat="1">
      <c r="A149" s="4">
        <v>5</v>
      </c>
      <c r="B149" s="4" t="s">
        <v>180</v>
      </c>
      <c r="D149" s="4" t="s">
        <v>97</v>
      </c>
      <c r="F149" s="4">
        <v>1375</v>
      </c>
      <c r="H149" s="4">
        <v>3626600</v>
      </c>
      <c r="J149" s="4">
        <v>0</v>
      </c>
      <c r="L149" s="4">
        <v>0</v>
      </c>
      <c r="N149" s="4">
        <v>0</v>
      </c>
      <c r="P149" s="4">
        <v>79543</v>
      </c>
      <c r="R149" s="4">
        <v>5606</v>
      </c>
      <c r="T149" s="4">
        <v>6613</v>
      </c>
      <c r="V149" s="4">
        <v>50433</v>
      </c>
      <c r="X149" s="4">
        <v>14378</v>
      </c>
      <c r="Z149" s="4">
        <v>0</v>
      </c>
      <c r="AB149" s="4">
        <v>0</v>
      </c>
      <c r="AD149" s="4">
        <v>0</v>
      </c>
      <c r="AF149" s="4">
        <v>0</v>
      </c>
      <c r="AH149" s="4">
        <f>SUM(F149:AF149)</f>
        <v>3784548</v>
      </c>
    </row>
    <row r="150" spans="1:66" s="4" customFormat="1">
      <c r="A150" s="4">
        <v>139</v>
      </c>
      <c r="B150" s="4" t="s">
        <v>575</v>
      </c>
      <c r="D150" s="4" t="s">
        <v>87</v>
      </c>
      <c r="F150" s="4">
        <v>0</v>
      </c>
      <c r="H150" s="4">
        <v>1462383</v>
      </c>
      <c r="J150" s="4">
        <v>0</v>
      </c>
      <c r="L150" s="4">
        <v>21019</v>
      </c>
      <c r="N150" s="4">
        <v>0</v>
      </c>
      <c r="P150" s="4">
        <v>21792</v>
      </c>
      <c r="R150" s="4">
        <v>43022</v>
      </c>
      <c r="T150" s="4">
        <v>1168</v>
      </c>
      <c r="V150" s="4">
        <v>46792</v>
      </c>
      <c r="X150" s="4">
        <v>42249</v>
      </c>
      <c r="Z150" s="4">
        <v>0</v>
      </c>
      <c r="AB150" s="4">
        <v>0</v>
      </c>
      <c r="AD150" s="4">
        <v>0</v>
      </c>
      <c r="AF150" s="4">
        <v>0</v>
      </c>
      <c r="AH150" s="4">
        <f>SUM(F150:AF150)</f>
        <v>1638425</v>
      </c>
    </row>
    <row r="151" spans="1:66" s="4" customFormat="1">
      <c r="A151" s="4">
        <v>108</v>
      </c>
      <c r="B151" s="4" t="s">
        <v>576</v>
      </c>
      <c r="D151" s="4" t="s">
        <v>181</v>
      </c>
      <c r="F151" s="4">
        <v>0</v>
      </c>
      <c r="H151" s="4">
        <v>986895</v>
      </c>
      <c r="J151" s="4">
        <v>0</v>
      </c>
      <c r="L151" s="4">
        <v>0</v>
      </c>
      <c r="N151" s="4">
        <v>0</v>
      </c>
      <c r="P151" s="4">
        <v>40783</v>
      </c>
      <c r="R151" s="4">
        <v>0</v>
      </c>
      <c r="T151" s="4">
        <v>300</v>
      </c>
      <c r="V151" s="4">
        <v>118288</v>
      </c>
      <c r="X151" s="4">
        <v>26496</v>
      </c>
      <c r="Z151" s="4">
        <v>0</v>
      </c>
      <c r="AB151" s="4">
        <v>900000</v>
      </c>
      <c r="AD151" s="4">
        <v>0</v>
      </c>
      <c r="AF151" s="4">
        <v>0</v>
      </c>
      <c r="AH151" s="4">
        <f>SUM(F151:AF151)</f>
        <v>2072762</v>
      </c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</row>
    <row r="152" spans="1:66" s="4" customFormat="1">
      <c r="A152" s="4">
        <v>149</v>
      </c>
      <c r="B152" s="4" t="s">
        <v>11</v>
      </c>
      <c r="D152" s="4" t="s">
        <v>12</v>
      </c>
      <c r="F152" s="4">
        <v>373462</v>
      </c>
      <c r="H152" s="4">
        <v>598482</v>
      </c>
      <c r="J152" s="4">
        <v>0</v>
      </c>
      <c r="L152" s="4">
        <v>0</v>
      </c>
      <c r="N152" s="4">
        <v>0</v>
      </c>
      <c r="P152" s="4">
        <v>23687</v>
      </c>
      <c r="R152" s="4">
        <v>0</v>
      </c>
      <c r="T152" s="4">
        <v>5215</v>
      </c>
      <c r="V152" s="4">
        <v>33922</v>
      </c>
      <c r="X152" s="4">
        <v>979</v>
      </c>
      <c r="Z152" s="4">
        <v>0</v>
      </c>
      <c r="AB152" s="4">
        <v>189150</v>
      </c>
      <c r="AD152" s="4">
        <v>0</v>
      </c>
      <c r="AF152" s="4">
        <v>0</v>
      </c>
      <c r="AH152" s="4">
        <f>SUM(F152:AF152)</f>
        <v>1224897</v>
      </c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</row>
    <row r="153" spans="1:66" s="4" customFormat="1">
      <c r="A153" s="4">
        <v>145</v>
      </c>
      <c r="B153" s="4" t="s">
        <v>182</v>
      </c>
      <c r="D153" s="4" t="s">
        <v>57</v>
      </c>
      <c r="F153" s="4">
        <v>4129521</v>
      </c>
      <c r="H153" s="4">
        <v>4499902</v>
      </c>
      <c r="J153" s="4">
        <v>0</v>
      </c>
      <c r="L153" s="4">
        <f>573872+352625</f>
        <v>926497</v>
      </c>
      <c r="N153" s="4">
        <v>0</v>
      </c>
      <c r="P153" s="4">
        <f>2555+120380</f>
        <v>122935</v>
      </c>
      <c r="R153" s="4">
        <v>0</v>
      </c>
      <c r="T153" s="4">
        <f>152749+762</f>
        <v>153511</v>
      </c>
      <c r="V153" s="4">
        <v>290585</v>
      </c>
      <c r="X153" s="4">
        <v>30545</v>
      </c>
      <c r="Z153" s="4">
        <v>0</v>
      </c>
      <c r="AB153" s="4">
        <v>0</v>
      </c>
      <c r="AD153" s="4">
        <v>0</v>
      </c>
      <c r="AF153" s="4">
        <v>2346616</v>
      </c>
      <c r="AH153" s="4">
        <f>SUM(F153:AF153)</f>
        <v>12500112</v>
      </c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66" s="4" customFormat="1">
      <c r="A154" s="4">
        <v>7</v>
      </c>
      <c r="B154" s="4" t="s">
        <v>183</v>
      </c>
      <c r="D154" s="4" t="s">
        <v>83</v>
      </c>
      <c r="F154" s="4">
        <v>1464</v>
      </c>
      <c r="H154" s="4">
        <v>0</v>
      </c>
      <c r="J154" s="4">
        <v>0</v>
      </c>
      <c r="L154" s="4">
        <v>682615</v>
      </c>
      <c r="N154" s="4">
        <v>0</v>
      </c>
      <c r="P154" s="4">
        <v>17416</v>
      </c>
      <c r="R154" s="4">
        <v>349</v>
      </c>
      <c r="T154" s="4">
        <v>39730</v>
      </c>
      <c r="V154" s="4">
        <v>8411</v>
      </c>
      <c r="X154" s="4">
        <v>909</v>
      </c>
      <c r="Z154" s="4">
        <v>0</v>
      </c>
      <c r="AB154" s="4">
        <v>0</v>
      </c>
      <c r="AD154" s="4">
        <v>0</v>
      </c>
      <c r="AF154" s="4">
        <v>0</v>
      </c>
      <c r="AH154" s="4">
        <f>SUM(F154:AF154)</f>
        <v>750894</v>
      </c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</row>
    <row r="155" spans="1:66" s="4" customFormat="1">
      <c r="A155" s="4">
        <v>210</v>
      </c>
      <c r="B155" s="4" t="s">
        <v>308</v>
      </c>
      <c r="D155" s="4" t="s">
        <v>25</v>
      </c>
      <c r="F155" s="4">
        <v>670396</v>
      </c>
      <c r="H155" s="4">
        <v>0</v>
      </c>
      <c r="J155" s="4">
        <v>0</v>
      </c>
      <c r="L155" s="4">
        <v>2500</v>
      </c>
      <c r="N155" s="4">
        <v>0</v>
      </c>
      <c r="P155" s="4">
        <v>24530</v>
      </c>
      <c r="R155" s="4">
        <v>11515</v>
      </c>
      <c r="T155" s="4">
        <v>5200</v>
      </c>
      <c r="V155" s="4">
        <v>16349</v>
      </c>
      <c r="X155" s="4">
        <v>1418</v>
      </c>
      <c r="Z155" s="4">
        <v>3</v>
      </c>
      <c r="AB155" s="4">
        <v>0</v>
      </c>
      <c r="AD155" s="4">
        <v>0</v>
      </c>
      <c r="AF155" s="4">
        <v>0</v>
      </c>
      <c r="AH155" s="4">
        <f>SUM(F155:AF155)</f>
        <v>731911</v>
      </c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</row>
    <row r="156" spans="1:66" s="4" customFormat="1">
      <c r="A156" s="4">
        <v>125</v>
      </c>
      <c r="B156" s="4" t="s">
        <v>184</v>
      </c>
      <c r="D156" s="4" t="s">
        <v>15</v>
      </c>
      <c r="F156" s="4">
        <v>279357</v>
      </c>
      <c r="H156" s="4">
        <v>0</v>
      </c>
      <c r="J156" s="4">
        <v>0</v>
      </c>
      <c r="L156" s="4">
        <v>835784</v>
      </c>
      <c r="N156" s="4">
        <v>0</v>
      </c>
      <c r="P156" s="4">
        <v>34514</v>
      </c>
      <c r="R156" s="4">
        <v>0</v>
      </c>
      <c r="T156" s="4">
        <v>12078</v>
      </c>
      <c r="V156" s="4">
        <v>44777</v>
      </c>
      <c r="X156" s="4">
        <v>2801</v>
      </c>
      <c r="Z156" s="4">
        <v>0</v>
      </c>
      <c r="AB156" s="4">
        <v>0</v>
      </c>
      <c r="AD156" s="4">
        <v>0</v>
      </c>
      <c r="AF156" s="4">
        <v>0</v>
      </c>
      <c r="AH156" s="4">
        <f>SUM(F156:AF156)</f>
        <v>1209311</v>
      </c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s="4" customFormat="1">
      <c r="A157" s="4">
        <v>197</v>
      </c>
      <c r="B157" s="4" t="s">
        <v>603</v>
      </c>
      <c r="D157" s="4" t="s">
        <v>185</v>
      </c>
      <c r="F157" s="4">
        <v>3636362</v>
      </c>
      <c r="H157" s="4">
        <v>4413612</v>
      </c>
      <c r="J157" s="4">
        <v>0</v>
      </c>
      <c r="L157" s="4">
        <v>211793</v>
      </c>
      <c r="N157" s="4">
        <v>0</v>
      </c>
      <c r="P157" s="4">
        <v>213028</v>
      </c>
      <c r="R157" s="4">
        <v>133120</v>
      </c>
      <c r="T157" s="4">
        <v>27275</v>
      </c>
      <c r="V157" s="4">
        <v>136993</v>
      </c>
      <c r="X157" s="4">
        <v>-2</v>
      </c>
      <c r="Z157" s="4">
        <v>0</v>
      </c>
      <c r="AB157" s="4">
        <v>425000</v>
      </c>
      <c r="AD157" s="4">
        <v>0</v>
      </c>
      <c r="AF157" s="4">
        <v>0</v>
      </c>
      <c r="AH157" s="4">
        <f>SUM(F157:AF157)</f>
        <v>9197181</v>
      </c>
    </row>
    <row r="158" spans="1:66" s="4" customFormat="1">
      <c r="A158" s="4">
        <v>195</v>
      </c>
      <c r="B158" s="4" t="s">
        <v>186</v>
      </c>
      <c r="D158" s="4" t="s">
        <v>102</v>
      </c>
      <c r="F158" s="4">
        <v>0</v>
      </c>
      <c r="H158" s="4">
        <v>60343</v>
      </c>
      <c r="J158" s="4">
        <v>0</v>
      </c>
      <c r="L158" s="4">
        <v>0</v>
      </c>
      <c r="N158" s="4">
        <v>0</v>
      </c>
      <c r="P158" s="4">
        <v>1011</v>
      </c>
      <c r="R158" s="4">
        <v>0</v>
      </c>
      <c r="T158" s="4">
        <v>0</v>
      </c>
      <c r="V158" s="4">
        <v>25</v>
      </c>
      <c r="X158" s="4">
        <v>0</v>
      </c>
      <c r="Z158" s="4">
        <v>0</v>
      </c>
      <c r="AB158" s="4">
        <v>0</v>
      </c>
      <c r="AD158" s="4">
        <v>0</v>
      </c>
      <c r="AF158" s="4">
        <v>0</v>
      </c>
      <c r="AH158" s="4">
        <f>SUM(F158:AF158)</f>
        <v>61379</v>
      </c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s="4" customFormat="1">
      <c r="A159" s="4">
        <v>154</v>
      </c>
      <c r="B159" s="4" t="s">
        <v>187</v>
      </c>
      <c r="D159" s="4" t="s">
        <v>188</v>
      </c>
      <c r="F159" s="4">
        <v>0</v>
      </c>
      <c r="H159" s="4">
        <v>2406827</v>
      </c>
      <c r="J159" s="4">
        <v>0</v>
      </c>
      <c r="L159" s="4">
        <v>0</v>
      </c>
      <c r="N159" s="4">
        <v>0</v>
      </c>
      <c r="P159" s="4">
        <v>62012</v>
      </c>
      <c r="R159" s="4">
        <v>0</v>
      </c>
      <c r="T159" s="4">
        <v>12692</v>
      </c>
      <c r="V159" s="4">
        <f>54953+142440</f>
        <v>197393</v>
      </c>
      <c r="X159" s="4">
        <v>58645</v>
      </c>
      <c r="Z159" s="4">
        <v>0</v>
      </c>
      <c r="AB159" s="4">
        <v>0</v>
      </c>
      <c r="AD159" s="4">
        <v>0</v>
      </c>
      <c r="AF159" s="4">
        <v>0</v>
      </c>
      <c r="AH159" s="4">
        <f>SUM(F159:AF159)</f>
        <v>2737569</v>
      </c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s="4" customFormat="1"/>
    <row r="161" spans="1:66" s="4" customFormat="1">
      <c r="AH161" s="47" t="s">
        <v>593</v>
      </c>
    </row>
    <row r="162" spans="1:66">
      <c r="B162" s="3" t="s">
        <v>525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66">
      <c r="B163" s="3" t="s">
        <v>527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66">
      <c r="B164" s="41" t="s">
        <v>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66"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66" s="36" customFormat="1">
      <c r="F166" s="28"/>
      <c r="G166" s="28"/>
      <c r="H166" s="28" t="s">
        <v>282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1:66" s="36" customFormat="1">
      <c r="F167" s="28" t="s">
        <v>31</v>
      </c>
      <c r="G167" s="28"/>
      <c r="H167" s="28" t="s">
        <v>283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 t="s">
        <v>29</v>
      </c>
      <c r="S167" s="28"/>
      <c r="T167" s="28" t="s">
        <v>289</v>
      </c>
      <c r="U167" s="28"/>
      <c r="V167" s="28"/>
      <c r="W167" s="28"/>
      <c r="X167" s="28"/>
      <c r="Y167" s="28"/>
      <c r="Z167" s="28" t="s">
        <v>294</v>
      </c>
      <c r="AA167" s="28"/>
      <c r="AB167" s="28"/>
      <c r="AC167" s="28"/>
      <c r="AD167" s="28"/>
      <c r="AE167" s="28"/>
      <c r="AF167" s="28" t="s">
        <v>0</v>
      </c>
      <c r="AG167" s="28"/>
      <c r="AH167" s="28"/>
    </row>
    <row r="168" spans="1:66" s="36" customFormat="1" ht="12" customHeight="1">
      <c r="F168" s="28" t="s">
        <v>0</v>
      </c>
      <c r="G168" s="28"/>
      <c r="H168" s="28" t="s">
        <v>284</v>
      </c>
      <c r="I168" s="28"/>
      <c r="J168" s="28" t="s">
        <v>558</v>
      </c>
      <c r="K168" s="28"/>
      <c r="L168" s="28" t="s">
        <v>348</v>
      </c>
      <c r="M168" s="28"/>
      <c r="N168" s="28"/>
      <c r="O168" s="28"/>
      <c r="P168" s="28" t="s">
        <v>286</v>
      </c>
      <c r="Q168" s="28"/>
      <c r="R168" s="28" t="s">
        <v>288</v>
      </c>
      <c r="S168" s="28"/>
      <c r="T168" s="28" t="s">
        <v>290</v>
      </c>
      <c r="U168" s="28"/>
      <c r="V168" s="28" t="s">
        <v>292</v>
      </c>
      <c r="W168" s="28"/>
      <c r="X168" s="28"/>
      <c r="Y168" s="28"/>
      <c r="Z168" s="28" t="s">
        <v>295</v>
      </c>
      <c r="AA168" s="28"/>
      <c r="AB168" s="28"/>
      <c r="AC168" s="28"/>
      <c r="AD168" s="28"/>
      <c r="AE168" s="28"/>
      <c r="AF168" s="28" t="s">
        <v>296</v>
      </c>
      <c r="AG168" s="28"/>
      <c r="AH168" s="28"/>
    </row>
    <row r="169" spans="1:66" s="36" customFormat="1" ht="12" customHeight="1">
      <c r="A169" s="36" t="s">
        <v>580</v>
      </c>
      <c r="B169" s="37"/>
      <c r="C169" s="48"/>
      <c r="D169" s="37" t="s">
        <v>6</v>
      </c>
      <c r="E169" s="48"/>
      <c r="F169" s="56" t="s">
        <v>281</v>
      </c>
      <c r="G169" s="53"/>
      <c r="H169" s="56" t="s">
        <v>285</v>
      </c>
      <c r="I169" s="53"/>
      <c r="J169" s="56" t="s">
        <v>559</v>
      </c>
      <c r="K169" s="53"/>
      <c r="L169" s="56" t="s">
        <v>349</v>
      </c>
      <c r="M169" s="53"/>
      <c r="N169" s="56" t="s">
        <v>560</v>
      </c>
      <c r="O169" s="53"/>
      <c r="P169" s="56" t="s">
        <v>287</v>
      </c>
      <c r="Q169" s="53"/>
      <c r="R169" s="56" t="s">
        <v>562</v>
      </c>
      <c r="S169" s="53"/>
      <c r="T169" s="56" t="s">
        <v>291</v>
      </c>
      <c r="U169" s="53"/>
      <c r="V169" s="56" t="s">
        <v>293</v>
      </c>
      <c r="W169" s="53"/>
      <c r="X169" s="56" t="s">
        <v>1</v>
      </c>
      <c r="Y169" s="53"/>
      <c r="Z169" s="56" t="s">
        <v>32</v>
      </c>
      <c r="AA169" s="53"/>
      <c r="AB169" s="56" t="s">
        <v>509</v>
      </c>
      <c r="AC169" s="53"/>
      <c r="AD169" s="56" t="s">
        <v>510</v>
      </c>
      <c r="AE169" s="53"/>
      <c r="AF169" s="56" t="s">
        <v>297</v>
      </c>
      <c r="AG169" s="53"/>
      <c r="AH169" s="40" t="s">
        <v>28</v>
      </c>
    </row>
    <row r="170" spans="1:66" s="7" customFormat="1">
      <c r="A170" s="7">
        <v>21</v>
      </c>
      <c r="B170" s="7" t="s">
        <v>430</v>
      </c>
      <c r="D170" s="7" t="s">
        <v>13</v>
      </c>
      <c r="F170" s="7">
        <v>0</v>
      </c>
      <c r="H170" s="7">
        <v>1143723</v>
      </c>
      <c r="J170" s="7">
        <v>0</v>
      </c>
      <c r="L170" s="7">
        <v>0</v>
      </c>
      <c r="N170" s="7">
        <v>0</v>
      </c>
      <c r="P170" s="7">
        <v>33775</v>
      </c>
      <c r="R170" s="7">
        <v>0</v>
      </c>
      <c r="T170" s="7">
        <v>11293</v>
      </c>
      <c r="V170" s="7">
        <v>30345</v>
      </c>
      <c r="X170" s="7">
        <v>10463</v>
      </c>
      <c r="Z170" s="7">
        <v>0</v>
      </c>
      <c r="AB170" s="7">
        <v>0</v>
      </c>
      <c r="AD170" s="7">
        <v>0</v>
      </c>
      <c r="AF170" s="7">
        <v>0</v>
      </c>
      <c r="AH170" s="7">
        <f>SUM(F170:AF170)</f>
        <v>1229599</v>
      </c>
    </row>
    <row r="171" spans="1:66" s="7" customFormat="1">
      <c r="A171" s="4">
        <v>198</v>
      </c>
      <c r="B171" s="4" t="s">
        <v>189</v>
      </c>
      <c r="C171" s="4"/>
      <c r="D171" s="4" t="s">
        <v>185</v>
      </c>
      <c r="E171" s="4"/>
      <c r="F171" s="4">
        <v>0</v>
      </c>
      <c r="G171" s="4"/>
      <c r="H171" s="4">
        <v>533450</v>
      </c>
      <c r="I171" s="4"/>
      <c r="J171" s="4">
        <v>0</v>
      </c>
      <c r="K171" s="4"/>
      <c r="L171" s="4">
        <v>0</v>
      </c>
      <c r="M171" s="4"/>
      <c r="N171" s="4">
        <v>0</v>
      </c>
      <c r="O171" s="4"/>
      <c r="P171" s="4">
        <v>22892</v>
      </c>
      <c r="Q171" s="4"/>
      <c r="R171" s="4">
        <v>0</v>
      </c>
      <c r="S171" s="4"/>
      <c r="T171" s="4">
        <v>5151</v>
      </c>
      <c r="U171" s="4"/>
      <c r="V171" s="4">
        <v>80467</v>
      </c>
      <c r="W171" s="4"/>
      <c r="X171" s="4">
        <v>273</v>
      </c>
      <c r="Y171" s="4"/>
      <c r="Z171" s="4">
        <v>147</v>
      </c>
      <c r="AA171" s="4"/>
      <c r="AB171" s="4">
        <v>300000</v>
      </c>
      <c r="AC171" s="4"/>
      <c r="AD171" s="4">
        <v>0</v>
      </c>
      <c r="AE171" s="4"/>
      <c r="AF171" s="4">
        <v>0</v>
      </c>
      <c r="AG171" s="4"/>
      <c r="AH171" s="4">
        <f>SUM(F171:AF171)</f>
        <v>942380</v>
      </c>
    </row>
    <row r="172" spans="1:66" s="4" customFormat="1">
      <c r="A172" s="4">
        <v>242</v>
      </c>
      <c r="B172" s="4" t="s">
        <v>190</v>
      </c>
      <c r="D172" s="4" t="s">
        <v>54</v>
      </c>
      <c r="F172" s="4">
        <v>0</v>
      </c>
      <c r="H172" s="4">
        <v>684919</v>
      </c>
      <c r="J172" s="4">
        <v>0</v>
      </c>
      <c r="L172" s="4">
        <v>900</v>
      </c>
      <c r="N172" s="4">
        <v>0</v>
      </c>
      <c r="P172" s="4">
        <v>17473</v>
      </c>
      <c r="R172" s="4">
        <v>0</v>
      </c>
      <c r="T172" s="4">
        <v>8309</v>
      </c>
      <c r="V172" s="4">
        <v>21449</v>
      </c>
      <c r="X172" s="4">
        <v>1637</v>
      </c>
      <c r="Z172" s="4">
        <v>0</v>
      </c>
      <c r="AB172" s="4">
        <v>275000</v>
      </c>
      <c r="AD172" s="4">
        <v>0</v>
      </c>
      <c r="AF172" s="4">
        <v>0</v>
      </c>
      <c r="AH172" s="4">
        <f>SUM(F172:AF172)</f>
        <v>1009687</v>
      </c>
    </row>
    <row r="173" spans="1:66" s="4" customFormat="1">
      <c r="A173" s="4">
        <v>99</v>
      </c>
      <c r="B173" s="4" t="s">
        <v>191</v>
      </c>
      <c r="D173" s="4" t="s">
        <v>61</v>
      </c>
      <c r="F173" s="4">
        <v>0</v>
      </c>
      <c r="H173" s="4">
        <v>548051</v>
      </c>
      <c r="J173" s="4">
        <v>0</v>
      </c>
      <c r="L173" s="4">
        <v>0</v>
      </c>
      <c r="N173" s="4">
        <v>0</v>
      </c>
      <c r="P173" s="4">
        <v>18667</v>
      </c>
      <c r="R173" s="4">
        <v>0</v>
      </c>
      <c r="T173" s="4">
        <v>6723</v>
      </c>
      <c r="V173" s="4">
        <v>176181</v>
      </c>
      <c r="X173" s="4">
        <v>22133</v>
      </c>
      <c r="Z173" s="4">
        <v>0</v>
      </c>
      <c r="AB173" s="4">
        <v>0</v>
      </c>
      <c r="AD173" s="4">
        <v>0</v>
      </c>
      <c r="AF173" s="4">
        <v>0</v>
      </c>
      <c r="AH173" s="4">
        <f>SUM(F173:AF173)</f>
        <v>771755</v>
      </c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</row>
    <row r="174" spans="1:66" s="4" customFormat="1">
      <c r="A174" s="4">
        <v>237</v>
      </c>
      <c r="B174" s="4" t="s">
        <v>192</v>
      </c>
      <c r="D174" s="4" t="s">
        <v>193</v>
      </c>
      <c r="F174" s="4">
        <v>578371</v>
      </c>
      <c r="H174" s="4">
        <v>740691</v>
      </c>
      <c r="J174" s="4">
        <v>0</v>
      </c>
      <c r="L174" s="4">
        <v>216796</v>
      </c>
      <c r="N174" s="4">
        <v>0</v>
      </c>
      <c r="P174" s="4">
        <v>60332</v>
      </c>
      <c r="R174" s="4">
        <v>0</v>
      </c>
      <c r="T174" s="4">
        <v>31652</v>
      </c>
      <c r="V174" s="4">
        <v>13989</v>
      </c>
      <c r="X174" s="4">
        <v>0</v>
      </c>
      <c r="Z174" s="4">
        <v>0</v>
      </c>
      <c r="AB174" s="4">
        <v>195000</v>
      </c>
      <c r="AD174" s="4">
        <v>0</v>
      </c>
      <c r="AF174" s="4">
        <v>0</v>
      </c>
      <c r="AH174" s="4">
        <f>SUM(F174:AF174)</f>
        <v>1836831</v>
      </c>
    </row>
    <row r="175" spans="1:66" s="4" customFormat="1">
      <c r="A175" s="4">
        <v>243</v>
      </c>
      <c r="B175" s="4" t="s">
        <v>194</v>
      </c>
      <c r="D175" s="4" t="s">
        <v>54</v>
      </c>
      <c r="F175" s="4">
        <v>0</v>
      </c>
      <c r="H175" s="4">
        <v>1226452</v>
      </c>
      <c r="J175" s="4">
        <v>0</v>
      </c>
      <c r="L175" s="4">
        <v>0</v>
      </c>
      <c r="N175" s="4">
        <v>0</v>
      </c>
      <c r="P175" s="4">
        <v>48442</v>
      </c>
      <c r="R175" s="4">
        <v>0</v>
      </c>
      <c r="T175" s="4">
        <v>10338</v>
      </c>
      <c r="V175" s="4">
        <v>60995</v>
      </c>
      <c r="X175" s="4">
        <v>14355</v>
      </c>
      <c r="Z175" s="4">
        <v>0</v>
      </c>
      <c r="AB175" s="4">
        <v>22661</v>
      </c>
      <c r="AD175" s="4">
        <v>0</v>
      </c>
      <c r="AF175" s="4">
        <v>0</v>
      </c>
      <c r="AH175" s="4">
        <f>SUM(F175:AF175)</f>
        <v>1383243</v>
      </c>
    </row>
    <row r="176" spans="1:66" s="4" customFormat="1">
      <c r="A176" s="4">
        <v>211</v>
      </c>
      <c r="B176" s="4" t="s">
        <v>460</v>
      </c>
      <c r="D176" s="4" t="s">
        <v>25</v>
      </c>
      <c r="F176" s="4">
        <v>759668</v>
      </c>
      <c r="H176" s="4">
        <v>1563735</v>
      </c>
      <c r="J176" s="4">
        <v>0</v>
      </c>
      <c r="L176" s="4">
        <v>143836</v>
      </c>
      <c r="N176" s="4">
        <v>0</v>
      </c>
      <c r="P176" s="4">
        <v>44642</v>
      </c>
      <c r="R176" s="4">
        <v>0</v>
      </c>
      <c r="T176" s="4">
        <v>16893</v>
      </c>
      <c r="V176" s="4">
        <v>24677</v>
      </c>
      <c r="X176" s="4">
        <v>32967</v>
      </c>
      <c r="Z176" s="4">
        <v>100</v>
      </c>
      <c r="AB176" s="4">
        <v>250682</v>
      </c>
      <c r="AD176" s="4">
        <v>0</v>
      </c>
      <c r="AF176" s="4">
        <v>0</v>
      </c>
      <c r="AH176" s="4">
        <f>SUM(F176:AF176)</f>
        <v>2837200</v>
      </c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</row>
    <row r="177" spans="1:66" s="4" customFormat="1">
      <c r="A177" s="4">
        <v>94</v>
      </c>
      <c r="B177" s="4" t="s">
        <v>340</v>
      </c>
      <c r="D177" s="4" t="s">
        <v>139</v>
      </c>
      <c r="F177" s="4">
        <v>0</v>
      </c>
      <c r="H177" s="4">
        <v>308871</v>
      </c>
      <c r="J177" s="4">
        <v>0</v>
      </c>
      <c r="L177" s="4">
        <v>0</v>
      </c>
      <c r="N177" s="4">
        <v>0</v>
      </c>
      <c r="P177" s="4">
        <v>8773</v>
      </c>
      <c r="R177" s="4">
        <v>0</v>
      </c>
      <c r="T177" s="4">
        <v>55967</v>
      </c>
      <c r="V177" s="4">
        <v>446</v>
      </c>
      <c r="X177" s="4">
        <v>628</v>
      </c>
      <c r="Z177" s="4">
        <v>0</v>
      </c>
      <c r="AB177" s="4">
        <v>0</v>
      </c>
      <c r="AD177" s="4">
        <v>0</v>
      </c>
      <c r="AF177" s="4">
        <v>0</v>
      </c>
      <c r="AH177" s="4">
        <f>SUM(F177:AF177)</f>
        <v>374685</v>
      </c>
    </row>
    <row r="178" spans="1:66" s="4" customFormat="1">
      <c r="A178" s="4">
        <v>227</v>
      </c>
      <c r="B178" s="4" t="s">
        <v>440</v>
      </c>
      <c r="D178" s="4" t="s">
        <v>56</v>
      </c>
      <c r="F178" s="4">
        <v>0</v>
      </c>
      <c r="H178" s="4">
        <v>1055724</v>
      </c>
      <c r="J178" s="4">
        <v>0</v>
      </c>
      <c r="L178" s="4">
        <v>1250</v>
      </c>
      <c r="N178" s="4">
        <v>0</v>
      </c>
      <c r="P178" s="4">
        <v>27917</v>
      </c>
      <c r="R178" s="4">
        <v>0</v>
      </c>
      <c r="T178" s="4">
        <v>17996</v>
      </c>
      <c r="V178" s="4">
        <v>15267</v>
      </c>
      <c r="X178" s="4">
        <v>30473</v>
      </c>
      <c r="Z178" s="4">
        <v>0</v>
      </c>
      <c r="AB178" s="4">
        <v>0</v>
      </c>
      <c r="AD178" s="4">
        <v>0</v>
      </c>
      <c r="AF178" s="4">
        <v>0</v>
      </c>
      <c r="AH178" s="4">
        <f>SUM(F178:AF178)</f>
        <v>1148627</v>
      </c>
    </row>
    <row r="179" spans="1:66" s="4" customFormat="1">
      <c r="A179" s="4">
        <v>29</v>
      </c>
      <c r="B179" s="4" t="s">
        <v>196</v>
      </c>
      <c r="D179" s="4" t="s">
        <v>62</v>
      </c>
      <c r="F179" s="4">
        <v>0</v>
      </c>
      <c r="H179" s="4">
        <v>306630</v>
      </c>
      <c r="J179" s="4">
        <v>0</v>
      </c>
      <c r="L179" s="4">
        <v>0</v>
      </c>
      <c r="N179" s="4">
        <v>0</v>
      </c>
      <c r="P179" s="4">
        <v>7836</v>
      </c>
      <c r="R179" s="4">
        <v>0</v>
      </c>
      <c r="T179" s="4">
        <v>5619</v>
      </c>
      <c r="V179" s="4">
        <v>14859</v>
      </c>
      <c r="X179" s="4">
        <v>1550</v>
      </c>
      <c r="Z179" s="4">
        <v>0</v>
      </c>
      <c r="AB179" s="4">
        <v>0</v>
      </c>
      <c r="AD179" s="4">
        <v>0</v>
      </c>
      <c r="AF179" s="4">
        <v>0</v>
      </c>
      <c r="AH179" s="4">
        <f>SUM(F179:AF179)</f>
        <v>336494</v>
      </c>
    </row>
    <row r="180" spans="1:66" s="4" customFormat="1">
      <c r="A180" s="4">
        <v>156</v>
      </c>
      <c r="B180" s="4" t="s">
        <v>604</v>
      </c>
      <c r="D180" s="4" t="s">
        <v>20</v>
      </c>
      <c r="F180" s="4">
        <f>4833935+4013780</f>
        <v>8847715</v>
      </c>
      <c r="H180" s="4">
        <v>3833850</v>
      </c>
      <c r="J180" s="4">
        <v>0</v>
      </c>
      <c r="L180" s="4">
        <v>0</v>
      </c>
      <c r="N180" s="4">
        <v>0</v>
      </c>
      <c r="P180" s="4">
        <v>149009</v>
      </c>
      <c r="R180" s="4">
        <v>0</v>
      </c>
      <c r="T180" s="4">
        <f>8820+27109</f>
        <v>35929</v>
      </c>
      <c r="V180" s="4">
        <f>116993+41+193536</f>
        <v>310570</v>
      </c>
      <c r="X180" s="4">
        <f>26982+4228</f>
        <v>31210</v>
      </c>
      <c r="Z180" s="4">
        <v>0</v>
      </c>
      <c r="AB180" s="4">
        <v>0</v>
      </c>
      <c r="AD180" s="4">
        <v>0</v>
      </c>
      <c r="AF180" s="4">
        <v>0</v>
      </c>
      <c r="AH180" s="4">
        <f>SUM(F180:AF180)</f>
        <v>13208283</v>
      </c>
    </row>
    <row r="181" spans="1:66" s="4" customFormat="1">
      <c r="A181" s="4">
        <v>157</v>
      </c>
      <c r="B181" s="4" t="s">
        <v>490</v>
      </c>
      <c r="D181" s="4" t="s">
        <v>433</v>
      </c>
      <c r="F181" s="4">
        <v>0</v>
      </c>
      <c r="H181" s="4">
        <v>859911</v>
      </c>
      <c r="J181" s="4">
        <v>0</v>
      </c>
      <c r="L181" s="4">
        <v>0</v>
      </c>
      <c r="N181" s="4">
        <v>0</v>
      </c>
      <c r="P181" s="4">
        <v>17738</v>
      </c>
      <c r="R181" s="4">
        <v>0</v>
      </c>
      <c r="T181" s="4">
        <v>3246</v>
      </c>
      <c r="V181" s="4">
        <v>27927</v>
      </c>
      <c r="X181" s="4">
        <v>23752</v>
      </c>
      <c r="Z181" s="4">
        <v>0</v>
      </c>
      <c r="AB181" s="4">
        <v>80000</v>
      </c>
      <c r="AD181" s="4">
        <v>0</v>
      </c>
      <c r="AF181" s="4">
        <v>0</v>
      </c>
      <c r="AH181" s="4">
        <f>SUM(F181:AF181)</f>
        <v>1012574</v>
      </c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</row>
    <row r="182" spans="1:66" s="4" customFormat="1">
      <c r="A182" s="4">
        <v>126</v>
      </c>
      <c r="B182" s="4" t="s">
        <v>14</v>
      </c>
      <c r="D182" s="4" t="s">
        <v>15</v>
      </c>
      <c r="F182" s="4">
        <v>1137567</v>
      </c>
      <c r="H182" s="4">
        <v>1765942</v>
      </c>
      <c r="J182" s="4">
        <v>0</v>
      </c>
      <c r="L182" s="4">
        <v>0</v>
      </c>
      <c r="N182" s="4">
        <v>0</v>
      </c>
      <c r="P182" s="4">
        <v>76357</v>
      </c>
      <c r="R182" s="4">
        <v>6411</v>
      </c>
      <c r="T182" s="4">
        <v>14514</v>
      </c>
      <c r="V182" s="4">
        <f>24098+2353</f>
        <v>26451</v>
      </c>
      <c r="X182" s="4">
        <v>3330</v>
      </c>
      <c r="Z182" s="4">
        <v>0</v>
      </c>
      <c r="AB182" s="4">
        <v>52425</v>
      </c>
      <c r="AD182" s="4">
        <v>0</v>
      </c>
      <c r="AF182" s="4">
        <v>0</v>
      </c>
      <c r="AH182" s="4">
        <f>SUM(F182:AF182)</f>
        <v>3082997</v>
      </c>
    </row>
    <row r="183" spans="1:66" s="4" customFormat="1">
      <c r="A183" s="4">
        <v>160</v>
      </c>
      <c r="B183" s="4" t="s">
        <v>605</v>
      </c>
      <c r="D183" s="4" t="s">
        <v>50</v>
      </c>
      <c r="F183" s="4">
        <v>0</v>
      </c>
      <c r="H183" s="4">
        <v>949600</v>
      </c>
      <c r="J183" s="4">
        <v>0</v>
      </c>
      <c r="L183" s="4">
        <v>995</v>
      </c>
      <c r="N183" s="4">
        <v>0</v>
      </c>
      <c r="P183" s="4">
        <v>14591</v>
      </c>
      <c r="R183" s="4">
        <v>0</v>
      </c>
      <c r="T183" s="4">
        <v>11578</v>
      </c>
      <c r="V183" s="4">
        <v>11390</v>
      </c>
      <c r="X183" s="4">
        <v>10699</v>
      </c>
      <c r="Z183" s="4">
        <v>0</v>
      </c>
      <c r="AB183" s="4">
        <v>41325</v>
      </c>
      <c r="AD183" s="4">
        <v>0</v>
      </c>
      <c r="AF183" s="4">
        <v>0</v>
      </c>
      <c r="AH183" s="4">
        <f>SUM(F183:AF183)</f>
        <v>1040178</v>
      </c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</row>
    <row r="184" spans="1:66" s="4" customFormat="1">
      <c r="A184" s="4">
        <v>26</v>
      </c>
      <c r="B184" s="4" t="s">
        <v>197</v>
      </c>
      <c r="D184" s="4" t="s">
        <v>10</v>
      </c>
      <c r="F184" s="4">
        <v>5472365</v>
      </c>
      <c r="H184" s="4">
        <v>0</v>
      </c>
      <c r="J184" s="4">
        <v>0</v>
      </c>
      <c r="L184" s="4">
        <v>0</v>
      </c>
      <c r="N184" s="4">
        <v>0</v>
      </c>
      <c r="P184" s="4">
        <v>243679</v>
      </c>
      <c r="R184" s="4">
        <v>20690</v>
      </c>
      <c r="T184" s="4">
        <v>30445</v>
      </c>
      <c r="V184" s="4">
        <v>188910</v>
      </c>
      <c r="X184" s="4">
        <v>37526</v>
      </c>
      <c r="Z184" s="4">
        <v>0</v>
      </c>
      <c r="AB184" s="4">
        <v>250000</v>
      </c>
      <c r="AD184" s="4">
        <v>0</v>
      </c>
      <c r="AF184" s="4">
        <v>0</v>
      </c>
      <c r="AH184" s="4">
        <f>SUM(F184:AF184)</f>
        <v>6243615</v>
      </c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</row>
    <row r="185" spans="1:66" s="4" customFormat="1">
      <c r="A185" s="4">
        <v>67</v>
      </c>
      <c r="B185" s="4" t="s">
        <v>198</v>
      </c>
      <c r="D185" s="4" t="s">
        <v>167</v>
      </c>
      <c r="F185" s="4">
        <v>334473</v>
      </c>
      <c r="H185" s="4">
        <v>412097</v>
      </c>
      <c r="J185" s="4">
        <v>0</v>
      </c>
      <c r="L185" s="4">
        <v>52484</v>
      </c>
      <c r="N185" s="4">
        <v>0</v>
      </c>
      <c r="P185" s="4">
        <v>16455</v>
      </c>
      <c r="R185" s="4">
        <v>15</v>
      </c>
      <c r="T185" s="4">
        <v>3427</v>
      </c>
      <c r="V185" s="4">
        <v>151165</v>
      </c>
      <c r="X185" s="4">
        <v>88</v>
      </c>
      <c r="Z185" s="4">
        <v>0</v>
      </c>
      <c r="AB185" s="4">
        <v>2456</v>
      </c>
      <c r="AD185" s="4">
        <v>0</v>
      </c>
      <c r="AF185" s="4">
        <v>0</v>
      </c>
      <c r="AH185" s="4">
        <f>SUM(F185:AF185)</f>
        <v>972660</v>
      </c>
    </row>
    <row r="186" spans="1:66" s="4" customFormat="1">
      <c r="A186" s="4">
        <v>165</v>
      </c>
      <c r="B186" s="4" t="s">
        <v>199</v>
      </c>
      <c r="D186" s="4" t="s">
        <v>53</v>
      </c>
      <c r="F186" s="4">
        <v>0</v>
      </c>
      <c r="H186" s="4">
        <v>418987</v>
      </c>
      <c r="J186" s="4">
        <v>0</v>
      </c>
      <c r="L186" s="4">
        <v>0</v>
      </c>
      <c r="N186" s="4">
        <v>0</v>
      </c>
      <c r="P186" s="4">
        <v>11507</v>
      </c>
      <c r="R186" s="4">
        <v>0</v>
      </c>
      <c r="T186" s="4">
        <v>22188</v>
      </c>
      <c r="V186" s="4">
        <v>13547</v>
      </c>
      <c r="X186" s="4">
        <v>13358</v>
      </c>
      <c r="Z186" s="4">
        <v>0</v>
      </c>
      <c r="AB186" s="4">
        <v>0</v>
      </c>
      <c r="AD186" s="4">
        <v>0</v>
      </c>
      <c r="AF186" s="4">
        <v>0</v>
      </c>
      <c r="AH186" s="4">
        <f>SUM(F186:AF186)</f>
        <v>479587</v>
      </c>
    </row>
    <row r="187" spans="1:66" s="4" customFormat="1">
      <c r="A187" s="4">
        <v>212</v>
      </c>
      <c r="B187" s="4" t="s">
        <v>200</v>
      </c>
      <c r="D187" s="4" t="s">
        <v>25</v>
      </c>
      <c r="F187" s="4">
        <v>0</v>
      </c>
      <c r="H187" s="4">
        <v>830420</v>
      </c>
      <c r="J187" s="4">
        <v>0</v>
      </c>
      <c r="L187" s="4">
        <v>2500</v>
      </c>
      <c r="N187" s="4">
        <v>0</v>
      </c>
      <c r="P187" s="4">
        <v>24080</v>
      </c>
      <c r="R187" s="4">
        <v>0</v>
      </c>
      <c r="T187" s="4">
        <v>6349</v>
      </c>
      <c r="V187" s="4">
        <v>4449</v>
      </c>
      <c r="X187" s="4">
        <v>1776</v>
      </c>
      <c r="Z187" s="4">
        <v>0</v>
      </c>
      <c r="AB187" s="4">
        <v>45000</v>
      </c>
      <c r="AD187" s="4">
        <v>0</v>
      </c>
      <c r="AF187" s="4">
        <v>0</v>
      </c>
      <c r="AH187" s="4">
        <f>SUM(F187:AF187)</f>
        <v>914574</v>
      </c>
    </row>
    <row r="188" spans="1:66" s="4" customFormat="1">
      <c r="A188" s="4">
        <v>259</v>
      </c>
      <c r="B188" s="4" t="s">
        <v>309</v>
      </c>
      <c r="D188" s="4" t="s">
        <v>63</v>
      </c>
      <c r="F188" s="4">
        <v>0</v>
      </c>
      <c r="H188" s="4">
        <v>239019</v>
      </c>
      <c r="J188" s="4">
        <v>0</v>
      </c>
      <c r="L188" s="4">
        <v>800</v>
      </c>
      <c r="N188" s="4">
        <v>0</v>
      </c>
      <c r="P188" s="4">
        <v>8860</v>
      </c>
      <c r="R188" s="4">
        <v>0</v>
      </c>
      <c r="T188" s="4">
        <v>3638</v>
      </c>
      <c r="V188" s="4">
        <v>1695</v>
      </c>
      <c r="X188" s="4">
        <v>1352</v>
      </c>
      <c r="Z188" s="4">
        <v>0</v>
      </c>
      <c r="AB188" s="4">
        <v>27839</v>
      </c>
      <c r="AD188" s="4">
        <v>0</v>
      </c>
      <c r="AF188" s="4">
        <v>0</v>
      </c>
      <c r="AH188" s="4">
        <f>SUM(F188:AF188)</f>
        <v>283203</v>
      </c>
    </row>
    <row r="189" spans="1:66" s="4" customFormat="1">
      <c r="A189" s="4">
        <v>168</v>
      </c>
      <c r="B189" s="4" t="s">
        <v>508</v>
      </c>
      <c r="D189" s="4" t="s">
        <v>64</v>
      </c>
      <c r="F189" s="4">
        <v>0</v>
      </c>
      <c r="H189" s="4">
        <v>559062</v>
      </c>
      <c r="J189" s="4">
        <v>0</v>
      </c>
      <c r="L189" s="4">
        <v>0</v>
      </c>
      <c r="N189" s="4">
        <v>0</v>
      </c>
      <c r="P189" s="4">
        <v>17028</v>
      </c>
      <c r="R189" s="4">
        <v>0</v>
      </c>
      <c r="T189" s="4">
        <v>50</v>
      </c>
      <c r="V189" s="4">
        <v>685</v>
      </c>
      <c r="X189" s="4">
        <v>1690</v>
      </c>
      <c r="Z189" s="4">
        <v>0</v>
      </c>
      <c r="AB189" s="4">
        <v>0</v>
      </c>
      <c r="AD189" s="4">
        <v>0</v>
      </c>
      <c r="AF189" s="4">
        <v>0</v>
      </c>
      <c r="AH189" s="4">
        <f>SUM(F189:AF189)</f>
        <v>578515</v>
      </c>
    </row>
    <row r="190" spans="1:66" s="4" customFormat="1">
      <c r="A190" s="4">
        <v>111</v>
      </c>
      <c r="B190" s="4" t="s">
        <v>202</v>
      </c>
      <c r="D190" s="4" t="s">
        <v>89</v>
      </c>
      <c r="F190" s="4">
        <v>120126</v>
      </c>
      <c r="H190" s="4">
        <v>0</v>
      </c>
      <c r="J190" s="4">
        <v>0</v>
      </c>
      <c r="L190" s="4">
        <v>0</v>
      </c>
      <c r="N190" s="4">
        <v>0</v>
      </c>
      <c r="P190" s="4">
        <v>3248</v>
      </c>
      <c r="R190" s="4">
        <v>0</v>
      </c>
      <c r="T190" s="4">
        <v>2768</v>
      </c>
      <c r="V190" s="4">
        <v>7352</v>
      </c>
      <c r="X190" s="4">
        <v>10</v>
      </c>
      <c r="Z190" s="4">
        <v>0</v>
      </c>
      <c r="AB190" s="4">
        <v>2000</v>
      </c>
      <c r="AD190" s="4">
        <v>0</v>
      </c>
      <c r="AF190" s="4">
        <v>0</v>
      </c>
      <c r="AH190" s="4">
        <f>SUM(F190:AF190)</f>
        <v>135504</v>
      </c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1:66" s="4" customFormat="1">
      <c r="A191" s="4">
        <v>248</v>
      </c>
      <c r="B191" s="4" t="s">
        <v>203</v>
      </c>
      <c r="D191" s="4" t="s">
        <v>204</v>
      </c>
      <c r="F191" s="4">
        <v>0</v>
      </c>
      <c r="H191" s="4">
        <v>266970</v>
      </c>
      <c r="J191" s="4">
        <v>0</v>
      </c>
      <c r="L191" s="4">
        <v>0</v>
      </c>
      <c r="N191" s="4">
        <v>0</v>
      </c>
      <c r="P191" s="4">
        <v>9990</v>
      </c>
      <c r="R191" s="4">
        <v>0</v>
      </c>
      <c r="T191" s="4">
        <v>3544</v>
      </c>
      <c r="V191" s="4">
        <v>29848</v>
      </c>
      <c r="X191" s="4">
        <v>3938</v>
      </c>
      <c r="Z191" s="4">
        <v>0</v>
      </c>
      <c r="AB191" s="4">
        <v>0</v>
      </c>
      <c r="AD191" s="4">
        <v>0</v>
      </c>
      <c r="AF191" s="4">
        <v>0</v>
      </c>
      <c r="AH191" s="4">
        <f>SUM(F191:AF191)</f>
        <v>314290</v>
      </c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</row>
    <row r="192" spans="1:66" s="4" customFormat="1">
      <c r="A192" s="4">
        <v>127</v>
      </c>
      <c r="B192" s="4" t="s">
        <v>205</v>
      </c>
      <c r="D192" s="4" t="s">
        <v>15</v>
      </c>
      <c r="F192" s="4">
        <v>1780184</v>
      </c>
      <c r="H192" s="4">
        <v>1627887</v>
      </c>
      <c r="J192" s="4">
        <v>0</v>
      </c>
      <c r="L192" s="4">
        <v>332820</v>
      </c>
      <c r="N192" s="4">
        <v>0</v>
      </c>
      <c r="P192" s="4">
        <v>87712</v>
      </c>
      <c r="R192" s="4">
        <v>18310</v>
      </c>
      <c r="T192" s="4">
        <v>13029</v>
      </c>
      <c r="V192" s="4">
        <v>371058</v>
      </c>
      <c r="X192" s="4">
        <v>28609</v>
      </c>
      <c r="Z192" s="4">
        <v>0</v>
      </c>
      <c r="AB192" s="4">
        <v>0</v>
      </c>
      <c r="AD192" s="4">
        <v>0</v>
      </c>
      <c r="AF192" s="4">
        <v>0</v>
      </c>
      <c r="AH192" s="4">
        <f>SUM(F192:AF192)</f>
        <v>4259609</v>
      </c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</row>
    <row r="193" spans="1:66" s="4" customFormat="1">
      <c r="A193" s="4">
        <v>175</v>
      </c>
      <c r="B193" s="4" t="s">
        <v>206</v>
      </c>
      <c r="D193" s="4" t="s">
        <v>68</v>
      </c>
      <c r="F193" s="4">
        <v>0</v>
      </c>
      <c r="H193" s="4">
        <v>278154</v>
      </c>
      <c r="J193" s="4">
        <v>0</v>
      </c>
      <c r="L193" s="4">
        <v>0</v>
      </c>
      <c r="N193" s="4">
        <v>0</v>
      </c>
      <c r="P193" s="4">
        <v>12411</v>
      </c>
      <c r="R193" s="4">
        <v>1675</v>
      </c>
      <c r="T193" s="4">
        <v>31342</v>
      </c>
      <c r="V193" s="4">
        <f>39074+18+6786</f>
        <v>45878</v>
      </c>
      <c r="X193" s="4">
        <v>344</v>
      </c>
      <c r="Z193" s="4">
        <v>0</v>
      </c>
      <c r="AB193" s="4">
        <v>0</v>
      </c>
      <c r="AD193" s="4">
        <v>0</v>
      </c>
      <c r="AF193" s="4">
        <v>119</v>
      </c>
      <c r="AH193" s="4">
        <f>SUM(F193:AF193)</f>
        <v>369923</v>
      </c>
    </row>
    <row r="194" spans="1:66" s="4" customFormat="1">
      <c r="A194" s="4">
        <v>150</v>
      </c>
      <c r="B194" s="4" t="s">
        <v>207</v>
      </c>
      <c r="D194" s="4" t="s">
        <v>12</v>
      </c>
      <c r="F194" s="4">
        <v>0</v>
      </c>
      <c r="H194" s="4">
        <v>227993</v>
      </c>
      <c r="J194" s="4">
        <v>0</v>
      </c>
      <c r="L194" s="4">
        <v>1908</v>
      </c>
      <c r="N194" s="4">
        <v>0</v>
      </c>
      <c r="P194" s="4">
        <v>4058</v>
      </c>
      <c r="R194" s="4">
        <v>0</v>
      </c>
      <c r="T194" s="4">
        <v>4478</v>
      </c>
      <c r="V194" s="4">
        <v>5148</v>
      </c>
      <c r="X194" s="4">
        <v>12980</v>
      </c>
      <c r="Z194" s="4">
        <v>0</v>
      </c>
      <c r="AB194" s="4">
        <v>0</v>
      </c>
      <c r="AD194" s="4">
        <v>0</v>
      </c>
      <c r="AF194" s="4">
        <v>10</v>
      </c>
      <c r="AH194" s="4">
        <f>SUM(F194:AF194)</f>
        <v>256575</v>
      </c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</row>
    <row r="195" spans="1:66" s="4" customFormat="1">
      <c r="A195" s="4">
        <v>122</v>
      </c>
      <c r="B195" s="4" t="s">
        <v>431</v>
      </c>
      <c r="D195" s="4" t="s">
        <v>16</v>
      </c>
      <c r="F195" s="4">
        <v>254482</v>
      </c>
      <c r="H195" s="4">
        <v>0</v>
      </c>
      <c r="J195" s="4">
        <v>0</v>
      </c>
      <c r="L195" s="4">
        <v>1640112</v>
      </c>
      <c r="N195" s="4">
        <v>0</v>
      </c>
      <c r="P195" s="4">
        <v>0</v>
      </c>
      <c r="R195" s="4">
        <v>40408</v>
      </c>
      <c r="T195" s="4">
        <v>17439</v>
      </c>
      <c r="V195" s="4">
        <v>21209</v>
      </c>
      <c r="X195" s="4">
        <v>10269</v>
      </c>
      <c r="Z195" s="4">
        <v>0</v>
      </c>
      <c r="AB195" s="4">
        <v>0</v>
      </c>
      <c r="AD195" s="4">
        <v>0</v>
      </c>
      <c r="AF195" s="4">
        <v>0</v>
      </c>
      <c r="AH195" s="4">
        <f>SUM(F195:AF195)</f>
        <v>1983919</v>
      </c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</row>
    <row r="196" spans="1:66" s="4" customFormat="1">
      <c r="A196" s="4">
        <v>178</v>
      </c>
      <c r="B196" s="4" t="s">
        <v>606</v>
      </c>
      <c r="D196" s="4" t="s">
        <v>209</v>
      </c>
      <c r="F196" s="4">
        <v>0</v>
      </c>
      <c r="H196" s="4">
        <v>0</v>
      </c>
      <c r="J196" s="4">
        <v>0</v>
      </c>
      <c r="L196" s="4">
        <v>3113456</v>
      </c>
      <c r="N196" s="4">
        <v>0</v>
      </c>
      <c r="P196" s="4">
        <v>110491</v>
      </c>
      <c r="R196" s="4">
        <v>0</v>
      </c>
      <c r="T196" s="4">
        <v>20267</v>
      </c>
      <c r="V196" s="4">
        <v>159907</v>
      </c>
      <c r="X196" s="4">
        <f>8357+43440</f>
        <v>51797</v>
      </c>
      <c r="Z196" s="4">
        <v>0</v>
      </c>
      <c r="AB196" s="4">
        <v>0</v>
      </c>
      <c r="AD196" s="4">
        <v>0</v>
      </c>
      <c r="AF196" s="4">
        <v>0</v>
      </c>
      <c r="AH196" s="4">
        <f>SUM(F196:AF196)</f>
        <v>3455918</v>
      </c>
    </row>
    <row r="197" spans="1:66" s="4" customFormat="1">
      <c r="A197" s="4">
        <v>105</v>
      </c>
      <c r="B197" s="4" t="s">
        <v>310</v>
      </c>
      <c r="D197" s="4" t="s">
        <v>60</v>
      </c>
      <c r="F197" s="4">
        <v>222185</v>
      </c>
      <c r="H197" s="4">
        <v>540524</v>
      </c>
      <c r="J197" s="4">
        <v>0</v>
      </c>
      <c r="L197" s="4">
        <v>0</v>
      </c>
      <c r="N197" s="4">
        <v>0</v>
      </c>
      <c r="P197" s="4">
        <v>14175</v>
      </c>
      <c r="R197" s="4">
        <v>0</v>
      </c>
      <c r="T197" s="4">
        <v>3269</v>
      </c>
      <c r="V197" s="4">
        <f>28954+226</f>
        <v>29180</v>
      </c>
      <c r="X197" s="4">
        <v>2643</v>
      </c>
      <c r="Z197" s="4">
        <v>0</v>
      </c>
      <c r="AB197" s="4">
        <v>100000</v>
      </c>
      <c r="AD197" s="4">
        <v>0</v>
      </c>
      <c r="AF197" s="4">
        <v>0</v>
      </c>
      <c r="AH197" s="4">
        <f>SUM(F197:AF197)</f>
        <v>911976</v>
      </c>
    </row>
    <row r="198" spans="1:66" s="4" customFormat="1">
      <c r="A198" s="4">
        <v>16</v>
      </c>
      <c r="B198" s="4" t="s">
        <v>461</v>
      </c>
      <c r="D198" s="4" t="s">
        <v>210</v>
      </c>
      <c r="F198" s="4">
        <v>0</v>
      </c>
      <c r="H198" s="4">
        <v>2173305</v>
      </c>
      <c r="J198" s="4">
        <v>0</v>
      </c>
      <c r="L198" s="4">
        <v>12554</v>
      </c>
      <c r="N198" s="4">
        <v>0</v>
      </c>
      <c r="P198" s="4">
        <v>37348</v>
      </c>
      <c r="R198" s="4">
        <v>0</v>
      </c>
      <c r="T198" s="4">
        <v>30006</v>
      </c>
      <c r="V198" s="4">
        <v>5745</v>
      </c>
      <c r="X198" s="4">
        <v>387128</v>
      </c>
      <c r="Z198" s="4">
        <v>0</v>
      </c>
      <c r="AB198" s="4">
        <v>0</v>
      </c>
      <c r="AD198" s="4">
        <v>0</v>
      </c>
      <c r="AF198" s="4">
        <v>0</v>
      </c>
      <c r="AH198" s="4">
        <f>SUM(F198:AF198)</f>
        <v>2646086</v>
      </c>
    </row>
    <row r="199" spans="1:66" s="4" customFormat="1">
      <c r="A199" s="4">
        <v>228</v>
      </c>
      <c r="B199" s="4" t="s">
        <v>441</v>
      </c>
      <c r="D199" s="4" t="s">
        <v>56</v>
      </c>
      <c r="F199" s="4">
        <v>0</v>
      </c>
      <c r="H199" s="4">
        <v>0</v>
      </c>
      <c r="J199" s="4">
        <v>0</v>
      </c>
      <c r="L199" s="4">
        <f>305632+271416+504917</f>
        <v>1081965</v>
      </c>
      <c r="N199" s="4">
        <v>0</v>
      </c>
      <c r="P199" s="4">
        <v>226818</v>
      </c>
      <c r="R199" s="4">
        <v>0</v>
      </c>
      <c r="T199" s="4">
        <v>0</v>
      </c>
      <c r="V199" s="4">
        <v>61405</v>
      </c>
      <c r="X199" s="4">
        <f>37406+14922</f>
        <v>52328</v>
      </c>
      <c r="Z199" s="4">
        <v>0</v>
      </c>
      <c r="AB199" s="4">
        <v>5134</v>
      </c>
      <c r="AD199" s="4">
        <v>0</v>
      </c>
      <c r="AF199" s="4">
        <v>0</v>
      </c>
      <c r="AH199" s="4">
        <f>SUM(F199:AF199)</f>
        <v>1427650</v>
      </c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</row>
    <row r="200" spans="1:66" s="4" customFormat="1">
      <c r="A200" s="4">
        <v>33</v>
      </c>
      <c r="B200" s="4" t="s">
        <v>462</v>
      </c>
      <c r="D200" s="4" t="s">
        <v>114</v>
      </c>
      <c r="F200" s="4">
        <v>579347</v>
      </c>
      <c r="H200" s="4">
        <v>0</v>
      </c>
      <c r="J200" s="4">
        <v>0</v>
      </c>
      <c r="L200" s="4">
        <v>0</v>
      </c>
      <c r="N200" s="4">
        <v>0</v>
      </c>
      <c r="P200" s="4">
        <v>16085</v>
      </c>
      <c r="R200" s="4">
        <v>743</v>
      </c>
      <c r="T200" s="4">
        <v>830</v>
      </c>
      <c r="V200" s="4">
        <v>1308</v>
      </c>
      <c r="X200" s="4">
        <v>14868</v>
      </c>
      <c r="Z200" s="4">
        <v>0</v>
      </c>
      <c r="AB200" s="4">
        <v>0</v>
      </c>
      <c r="AD200" s="4">
        <v>0</v>
      </c>
      <c r="AF200" s="4">
        <v>0</v>
      </c>
      <c r="AH200" s="4">
        <f>SUM(F200:AF200)</f>
        <v>613181</v>
      </c>
    </row>
    <row r="201" spans="1:66" s="4" customFormat="1">
      <c r="A201" s="4">
        <v>112</v>
      </c>
      <c r="B201" s="4" t="s">
        <v>341</v>
      </c>
      <c r="D201" s="4" t="s">
        <v>89</v>
      </c>
      <c r="F201" s="4">
        <v>257063</v>
      </c>
      <c r="H201" s="4">
        <v>0</v>
      </c>
      <c r="J201" s="4">
        <v>0</v>
      </c>
      <c r="L201" s="4">
        <v>0</v>
      </c>
      <c r="N201" s="4">
        <v>0</v>
      </c>
      <c r="P201" s="4">
        <f>4556+3362</f>
        <v>7918</v>
      </c>
      <c r="R201" s="4">
        <v>0</v>
      </c>
      <c r="T201" s="4">
        <v>1824</v>
      </c>
      <c r="V201" s="4">
        <v>13010</v>
      </c>
      <c r="X201" s="4">
        <f>1216+5089</f>
        <v>6305</v>
      </c>
      <c r="Z201" s="4">
        <v>0</v>
      </c>
      <c r="AB201" s="4">
        <v>0</v>
      </c>
      <c r="AD201" s="4">
        <v>0</v>
      </c>
      <c r="AF201" s="4">
        <v>0</v>
      </c>
      <c r="AH201" s="4">
        <f>SUM(F201:AF201)</f>
        <v>286120</v>
      </c>
    </row>
    <row r="202" spans="1:66" s="4" customFormat="1">
      <c r="A202" s="4">
        <v>60</v>
      </c>
      <c r="B202" s="4" t="s">
        <v>211</v>
      </c>
      <c r="D202" s="4" t="s">
        <v>81</v>
      </c>
      <c r="F202" s="4">
        <v>0</v>
      </c>
      <c r="H202" s="4">
        <v>319494</v>
      </c>
      <c r="J202" s="4">
        <v>0</v>
      </c>
      <c r="L202" s="4">
        <v>0</v>
      </c>
      <c r="N202" s="4">
        <v>0</v>
      </c>
      <c r="P202" s="4">
        <v>5764</v>
      </c>
      <c r="R202" s="4">
        <v>0</v>
      </c>
      <c r="T202" s="4">
        <v>12634</v>
      </c>
      <c r="V202" s="4">
        <v>1918</v>
      </c>
      <c r="X202" s="4">
        <v>50</v>
      </c>
      <c r="Z202" s="4">
        <v>0</v>
      </c>
      <c r="AB202" s="4">
        <v>0</v>
      </c>
      <c r="AD202" s="4">
        <v>0</v>
      </c>
      <c r="AF202" s="4">
        <v>0</v>
      </c>
      <c r="AH202" s="4">
        <f>SUM(F202:AF202)</f>
        <v>339860</v>
      </c>
    </row>
    <row r="203" spans="1:66" s="4" customFormat="1">
      <c r="A203" s="4">
        <v>186</v>
      </c>
      <c r="B203" s="4" t="s">
        <v>463</v>
      </c>
      <c r="D203" s="4" t="s">
        <v>66</v>
      </c>
      <c r="F203" s="4">
        <v>0</v>
      </c>
      <c r="H203" s="4">
        <v>119712</v>
      </c>
      <c r="J203" s="4">
        <v>0</v>
      </c>
      <c r="L203" s="4">
        <v>0</v>
      </c>
      <c r="N203" s="4">
        <v>0</v>
      </c>
      <c r="P203" s="4">
        <v>2715</v>
      </c>
      <c r="R203" s="4">
        <v>0</v>
      </c>
      <c r="T203" s="4">
        <v>3041</v>
      </c>
      <c r="V203" s="4">
        <v>0</v>
      </c>
      <c r="X203" s="4">
        <v>61</v>
      </c>
      <c r="Z203" s="4">
        <v>0</v>
      </c>
      <c r="AB203" s="4">
        <v>0</v>
      </c>
      <c r="AD203" s="4">
        <v>0</v>
      </c>
      <c r="AF203" s="4">
        <v>0</v>
      </c>
      <c r="AH203" s="4">
        <f>SUM(F203:AF203)</f>
        <v>125529</v>
      </c>
    </row>
    <row r="204" spans="1:66" s="4" customFormat="1">
      <c r="A204" s="4">
        <v>235</v>
      </c>
      <c r="B204" s="4" t="s">
        <v>212</v>
      </c>
      <c r="D204" s="4" t="s">
        <v>26</v>
      </c>
      <c r="F204" s="4">
        <v>43244</v>
      </c>
      <c r="H204" s="4">
        <v>306012</v>
      </c>
      <c r="J204" s="4">
        <v>0</v>
      </c>
      <c r="L204" s="4">
        <v>10673</v>
      </c>
      <c r="N204" s="4">
        <v>0</v>
      </c>
      <c r="P204" s="4">
        <v>10903</v>
      </c>
      <c r="R204" s="4">
        <v>0</v>
      </c>
      <c r="T204" s="4">
        <v>510</v>
      </c>
      <c r="V204" s="4">
        <v>1976</v>
      </c>
      <c r="X204" s="4">
        <v>66278</v>
      </c>
      <c r="Z204" s="4">
        <v>0</v>
      </c>
      <c r="AB204" s="4">
        <v>26729</v>
      </c>
      <c r="AD204" s="4">
        <v>0</v>
      </c>
      <c r="AF204" s="4">
        <v>0</v>
      </c>
      <c r="AH204" s="4">
        <f>SUM(F204:AF204)</f>
        <v>466325</v>
      </c>
    </row>
    <row r="205" spans="1:66" s="4" customFormat="1">
      <c r="A205" s="4">
        <v>229</v>
      </c>
      <c r="B205" s="4" t="s">
        <v>213</v>
      </c>
      <c r="D205" s="4" t="s">
        <v>56</v>
      </c>
      <c r="F205" s="4">
        <v>104104</v>
      </c>
      <c r="H205" s="4">
        <v>620462</v>
      </c>
      <c r="J205" s="4">
        <v>0</v>
      </c>
      <c r="L205" s="4">
        <v>16260</v>
      </c>
      <c r="N205" s="4">
        <v>0</v>
      </c>
      <c r="P205" s="4">
        <v>11835</v>
      </c>
      <c r="R205" s="4">
        <v>0</v>
      </c>
      <c r="T205" s="4">
        <v>9698</v>
      </c>
      <c r="V205" s="4">
        <v>16503</v>
      </c>
      <c r="X205" s="4">
        <v>5542</v>
      </c>
      <c r="Z205" s="4">
        <v>0</v>
      </c>
      <c r="AB205" s="4">
        <v>0</v>
      </c>
      <c r="AD205" s="4">
        <v>0</v>
      </c>
      <c r="AF205" s="4">
        <v>0</v>
      </c>
      <c r="AH205" s="4">
        <f>SUM(F205:AF205)</f>
        <v>784404</v>
      </c>
    </row>
    <row r="206" spans="1:66" s="4" customFormat="1">
      <c r="A206" s="4">
        <v>85</v>
      </c>
      <c r="B206" s="4" t="s">
        <v>216</v>
      </c>
      <c r="D206" s="4" t="s">
        <v>42</v>
      </c>
      <c r="F206" s="4">
        <v>0</v>
      </c>
      <c r="H206" s="4">
        <v>143215</v>
      </c>
      <c r="J206" s="4">
        <v>0</v>
      </c>
      <c r="L206" s="4">
        <v>0</v>
      </c>
      <c r="N206" s="4">
        <v>0</v>
      </c>
      <c r="P206" s="4">
        <v>4778</v>
      </c>
      <c r="R206" s="4">
        <v>3000</v>
      </c>
      <c r="T206" s="4">
        <v>815</v>
      </c>
      <c r="V206" s="4">
        <v>690</v>
      </c>
      <c r="X206" s="4">
        <v>29</v>
      </c>
      <c r="Z206" s="4">
        <v>529</v>
      </c>
      <c r="AB206" s="4">
        <v>0</v>
      </c>
      <c r="AD206" s="4">
        <v>0</v>
      </c>
      <c r="AF206" s="4">
        <v>0</v>
      </c>
      <c r="AH206" s="4">
        <f>SUM(F206:AF206)</f>
        <v>153056</v>
      </c>
    </row>
    <row r="207" spans="1:66" s="4" customFormat="1">
      <c r="A207" s="4">
        <v>250</v>
      </c>
      <c r="B207" s="4" t="s">
        <v>217</v>
      </c>
      <c r="D207" s="4" t="s">
        <v>65</v>
      </c>
      <c r="F207" s="4">
        <v>0</v>
      </c>
      <c r="H207" s="4">
        <v>387294</v>
      </c>
      <c r="J207" s="4">
        <v>0</v>
      </c>
      <c r="L207" s="4">
        <v>15794</v>
      </c>
      <c r="N207" s="4">
        <v>0</v>
      </c>
      <c r="P207" s="4">
        <v>11378</v>
      </c>
      <c r="R207" s="4">
        <v>0</v>
      </c>
      <c r="T207" s="4">
        <v>4393</v>
      </c>
      <c r="V207" s="4">
        <v>11837</v>
      </c>
      <c r="X207" s="4">
        <v>1980</v>
      </c>
      <c r="Z207" s="4">
        <v>465</v>
      </c>
      <c r="AB207" s="4">
        <v>92652</v>
      </c>
      <c r="AD207" s="4">
        <v>0</v>
      </c>
      <c r="AF207" s="4">
        <v>0</v>
      </c>
      <c r="AH207" s="4">
        <f>SUM(F207:AF207)</f>
        <v>525793</v>
      </c>
    </row>
    <row r="208" spans="1:66" s="4" customFormat="1">
      <c r="A208" s="4">
        <v>213</v>
      </c>
      <c r="B208" s="4" t="s">
        <v>218</v>
      </c>
      <c r="D208" s="4" t="s">
        <v>25</v>
      </c>
      <c r="F208" s="4">
        <v>169279</v>
      </c>
      <c r="H208" s="4">
        <v>0</v>
      </c>
      <c r="J208" s="4">
        <v>0</v>
      </c>
      <c r="L208" s="4">
        <v>1579065</v>
      </c>
      <c r="N208" s="4">
        <v>0</v>
      </c>
      <c r="P208" s="4">
        <v>81964</v>
      </c>
      <c r="R208" s="4">
        <v>0</v>
      </c>
      <c r="T208" s="4">
        <v>490221</v>
      </c>
      <c r="V208" s="4">
        <v>23754</v>
      </c>
      <c r="X208" s="4">
        <v>3883</v>
      </c>
      <c r="Z208" s="4">
        <v>0</v>
      </c>
      <c r="AB208" s="4">
        <v>0</v>
      </c>
      <c r="AD208" s="4">
        <v>0</v>
      </c>
      <c r="AF208" s="4">
        <v>0</v>
      </c>
      <c r="AH208" s="4">
        <f>SUM(F208:AF208)</f>
        <v>2348166</v>
      </c>
    </row>
    <row r="209" spans="1:66" s="4" customFormat="1">
      <c r="A209" s="4">
        <v>251</v>
      </c>
      <c r="B209" s="4" t="s">
        <v>443</v>
      </c>
      <c r="D209" s="4" t="s">
        <v>65</v>
      </c>
      <c r="F209" s="4">
        <v>0</v>
      </c>
      <c r="H209" s="4">
        <v>0</v>
      </c>
      <c r="J209" s="4">
        <v>0</v>
      </c>
      <c r="L209" s="4">
        <v>255349</v>
      </c>
      <c r="N209" s="4">
        <v>0</v>
      </c>
      <c r="P209" s="4">
        <v>0</v>
      </c>
      <c r="R209" s="4">
        <v>205362</v>
      </c>
      <c r="T209" s="4">
        <v>0</v>
      </c>
      <c r="V209" s="4">
        <v>5544</v>
      </c>
      <c r="X209" s="4">
        <v>0</v>
      </c>
      <c r="Z209" s="4">
        <v>0</v>
      </c>
      <c r="AB209" s="4">
        <v>14462</v>
      </c>
      <c r="AD209" s="4">
        <v>0</v>
      </c>
      <c r="AF209" s="4">
        <v>0</v>
      </c>
      <c r="AH209" s="4">
        <f>SUM(F209:AF209)</f>
        <v>480717</v>
      </c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</row>
    <row r="210" spans="1:66" s="4" customFormat="1">
      <c r="A210" s="4">
        <v>113</v>
      </c>
      <c r="B210" s="4" t="s">
        <v>219</v>
      </c>
      <c r="D210" s="4" t="s">
        <v>89</v>
      </c>
      <c r="F210" s="4">
        <v>140037</v>
      </c>
      <c r="H210" s="4">
        <v>703046</v>
      </c>
      <c r="J210" s="4">
        <v>0</v>
      </c>
      <c r="L210" s="4">
        <v>32512</v>
      </c>
      <c r="N210" s="4">
        <v>0</v>
      </c>
      <c r="P210" s="4">
        <v>31588</v>
      </c>
      <c r="R210" s="4">
        <v>0</v>
      </c>
      <c r="T210" s="4">
        <v>20527</v>
      </c>
      <c r="V210" s="4">
        <v>10510</v>
      </c>
      <c r="X210" s="4">
        <v>29604</v>
      </c>
      <c r="Z210" s="4">
        <v>0</v>
      </c>
      <c r="AB210" s="4">
        <v>25023</v>
      </c>
      <c r="AD210" s="4">
        <v>0</v>
      </c>
      <c r="AF210" s="4">
        <v>0</v>
      </c>
      <c r="AH210" s="4">
        <f>SUM(F210:AF210)</f>
        <v>992847</v>
      </c>
    </row>
    <row r="211" spans="1:66" s="4" customFormat="1">
      <c r="A211" s="4">
        <v>183</v>
      </c>
      <c r="B211" s="4" t="s">
        <v>220</v>
      </c>
      <c r="D211" s="4" t="s">
        <v>158</v>
      </c>
      <c r="F211" s="4">
        <v>311210</v>
      </c>
      <c r="H211" s="4">
        <v>0</v>
      </c>
      <c r="J211" s="4">
        <v>0</v>
      </c>
      <c r="L211" s="4">
        <v>0</v>
      </c>
      <c r="N211" s="4">
        <v>0</v>
      </c>
      <c r="P211" s="4">
        <v>13064</v>
      </c>
      <c r="R211" s="4">
        <v>0</v>
      </c>
      <c r="T211" s="4">
        <v>7388</v>
      </c>
      <c r="V211" s="4">
        <v>12374</v>
      </c>
      <c r="X211" s="4">
        <v>3454</v>
      </c>
      <c r="Z211" s="4">
        <v>0</v>
      </c>
      <c r="AB211" s="4">
        <v>0</v>
      </c>
      <c r="AD211" s="4">
        <v>0</v>
      </c>
      <c r="AF211" s="4">
        <v>0</v>
      </c>
      <c r="AH211" s="4">
        <f>SUM(F211:AF211)</f>
        <v>347490</v>
      </c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</row>
    <row r="212" spans="1:66" s="4" customFormat="1">
      <c r="A212" s="4">
        <v>116</v>
      </c>
      <c r="B212" s="4" t="s">
        <v>221</v>
      </c>
      <c r="D212" s="4" t="s">
        <v>170</v>
      </c>
      <c r="F212" s="4">
        <v>0</v>
      </c>
      <c r="H212" s="4">
        <v>258800</v>
      </c>
      <c r="J212" s="4">
        <v>0</v>
      </c>
      <c r="L212" s="4">
        <v>0</v>
      </c>
      <c r="N212" s="4">
        <v>0</v>
      </c>
      <c r="P212" s="4">
        <v>7387</v>
      </c>
      <c r="R212" s="4">
        <v>0</v>
      </c>
      <c r="T212" s="4">
        <v>100</v>
      </c>
      <c r="V212" s="4">
        <v>17440</v>
      </c>
      <c r="X212" s="4">
        <v>170</v>
      </c>
      <c r="Z212" s="4">
        <v>0</v>
      </c>
      <c r="AB212" s="4">
        <v>0</v>
      </c>
      <c r="AD212" s="4">
        <v>0</v>
      </c>
      <c r="AF212" s="4">
        <v>0</v>
      </c>
      <c r="AH212" s="4">
        <f>SUM(F212:AF212)</f>
        <v>283897</v>
      </c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1:66" s="4" customFormat="1">
      <c r="A213" s="4">
        <v>146</v>
      </c>
      <c r="B213" s="4" t="s">
        <v>464</v>
      </c>
      <c r="D213" s="4" t="s">
        <v>57</v>
      </c>
      <c r="F213" s="4">
        <v>584532</v>
      </c>
      <c r="H213" s="4">
        <v>470381</v>
      </c>
      <c r="J213" s="4">
        <v>0</v>
      </c>
      <c r="L213" s="4">
        <v>20919</v>
      </c>
      <c r="N213" s="4">
        <v>0</v>
      </c>
      <c r="P213" s="4">
        <v>34954</v>
      </c>
      <c r="R213" s="4">
        <v>0</v>
      </c>
      <c r="T213" s="4">
        <v>10987</v>
      </c>
      <c r="V213" s="4">
        <v>14054</v>
      </c>
      <c r="X213" s="4">
        <v>3884</v>
      </c>
      <c r="Z213" s="4">
        <v>0</v>
      </c>
      <c r="AB213" s="4">
        <v>0</v>
      </c>
      <c r="AD213" s="4">
        <v>0</v>
      </c>
      <c r="AF213" s="4">
        <v>0</v>
      </c>
      <c r="AH213" s="4">
        <f>SUM(F213:AF213)</f>
        <v>1139711</v>
      </c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1:66" s="28" customFormat="1">
      <c r="A214" s="4">
        <v>246</v>
      </c>
      <c r="B214" s="4" t="s">
        <v>224</v>
      </c>
      <c r="C214" s="4"/>
      <c r="D214" s="4" t="s">
        <v>225</v>
      </c>
      <c r="E214" s="4"/>
      <c r="F214" s="4">
        <v>139056</v>
      </c>
      <c r="G214" s="4"/>
      <c r="H214" s="4">
        <v>0</v>
      </c>
      <c r="I214" s="4"/>
      <c r="J214" s="4">
        <v>0</v>
      </c>
      <c r="K214" s="4"/>
      <c r="L214" s="4">
        <f>662620+21941</f>
        <v>684561</v>
      </c>
      <c r="M214" s="4"/>
      <c r="N214" s="4">
        <v>0</v>
      </c>
      <c r="O214" s="4"/>
      <c r="P214" s="4">
        <v>46360</v>
      </c>
      <c r="Q214" s="4"/>
      <c r="R214" s="4">
        <v>0</v>
      </c>
      <c r="S214" s="4"/>
      <c r="T214" s="4">
        <v>22257</v>
      </c>
      <c r="U214" s="4"/>
      <c r="V214" s="4">
        <v>48704</v>
      </c>
      <c r="W214" s="4"/>
      <c r="X214" s="4">
        <v>2257</v>
      </c>
      <c r="Y214" s="4"/>
      <c r="Z214" s="4">
        <v>0</v>
      </c>
      <c r="AA214" s="4"/>
      <c r="AB214" s="4">
        <v>0</v>
      </c>
      <c r="AC214" s="4"/>
      <c r="AD214" s="4">
        <v>0</v>
      </c>
      <c r="AE214" s="4"/>
      <c r="AF214" s="4">
        <v>0</v>
      </c>
      <c r="AG214" s="4"/>
      <c r="AH214" s="4">
        <f>SUM(F214:AF214)</f>
        <v>943195</v>
      </c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1:66" s="4" customFormat="1">
      <c r="A215" s="4">
        <v>136</v>
      </c>
      <c r="B215" s="4" t="s">
        <v>226</v>
      </c>
      <c r="D215" s="4" t="s">
        <v>41</v>
      </c>
      <c r="F215" s="4">
        <v>277169</v>
      </c>
      <c r="H215" s="4">
        <v>605134</v>
      </c>
      <c r="J215" s="4">
        <v>0</v>
      </c>
      <c r="L215" s="4">
        <v>0</v>
      </c>
      <c r="N215" s="4">
        <v>0</v>
      </c>
      <c r="P215" s="4">
        <v>21467</v>
      </c>
      <c r="R215" s="4">
        <v>0</v>
      </c>
      <c r="T215" s="4">
        <v>4299</v>
      </c>
      <c r="V215" s="4">
        <v>54454</v>
      </c>
      <c r="X215" s="4">
        <v>1265</v>
      </c>
      <c r="Z215" s="4">
        <v>0</v>
      </c>
      <c r="AB215" s="4">
        <v>0</v>
      </c>
      <c r="AD215" s="4">
        <v>0</v>
      </c>
      <c r="AF215" s="4">
        <v>0</v>
      </c>
      <c r="AH215" s="4">
        <f>SUM(F215:AF215)</f>
        <v>963788</v>
      </c>
    </row>
    <row r="216" spans="1:66" s="4" customFormat="1">
      <c r="A216" s="4">
        <v>106</v>
      </c>
      <c r="B216" s="4" t="s">
        <v>465</v>
      </c>
      <c r="D216" s="4" t="s">
        <v>60</v>
      </c>
      <c r="F216" s="4">
        <v>15716</v>
      </c>
      <c r="H216" s="4">
        <v>234829</v>
      </c>
      <c r="J216" s="4">
        <v>0</v>
      </c>
      <c r="L216" s="4">
        <v>0</v>
      </c>
      <c r="N216" s="4">
        <v>0</v>
      </c>
      <c r="P216" s="4">
        <v>4309</v>
      </c>
      <c r="R216" s="4">
        <v>0</v>
      </c>
      <c r="T216" s="4">
        <v>4109</v>
      </c>
      <c r="V216" s="4">
        <v>8049</v>
      </c>
      <c r="X216" s="4">
        <v>4399</v>
      </c>
      <c r="Z216" s="4">
        <v>136</v>
      </c>
      <c r="AB216" s="4">
        <v>0</v>
      </c>
      <c r="AD216" s="4">
        <v>0</v>
      </c>
      <c r="AF216" s="4">
        <v>0</v>
      </c>
      <c r="AH216" s="4">
        <f>SUM(F216:AF216)</f>
        <v>271547</v>
      </c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</row>
    <row r="217" spans="1:66" s="4" customFormat="1">
      <c r="A217" s="4">
        <v>184</v>
      </c>
      <c r="B217" s="4" t="s">
        <v>228</v>
      </c>
      <c r="D217" s="4" t="s">
        <v>229</v>
      </c>
      <c r="F217" s="4">
        <v>0</v>
      </c>
      <c r="H217" s="4">
        <v>740380</v>
      </c>
      <c r="J217" s="4">
        <v>0</v>
      </c>
      <c r="L217" s="4">
        <v>0</v>
      </c>
      <c r="N217" s="4">
        <v>0</v>
      </c>
      <c r="P217" s="4">
        <v>31721</v>
      </c>
      <c r="R217" s="4">
        <v>0</v>
      </c>
      <c r="T217" s="4">
        <v>50354</v>
      </c>
      <c r="V217" s="4">
        <v>33277</v>
      </c>
      <c r="X217" s="4">
        <v>6310</v>
      </c>
      <c r="Z217" s="4">
        <v>0</v>
      </c>
      <c r="AB217" s="4">
        <v>0</v>
      </c>
      <c r="AD217" s="4">
        <v>0</v>
      </c>
      <c r="AF217" s="4">
        <v>0</v>
      </c>
      <c r="AH217" s="4">
        <f>SUM(F217:AF217)</f>
        <v>862042</v>
      </c>
    </row>
    <row r="218" spans="1:66" s="4" customFormat="1">
      <c r="A218" s="4">
        <v>252</v>
      </c>
      <c r="B218" s="4" t="s">
        <v>231</v>
      </c>
      <c r="D218" s="4" t="s">
        <v>65</v>
      </c>
      <c r="F218" s="4">
        <v>177190</v>
      </c>
      <c r="H218" s="4">
        <v>381716</v>
      </c>
      <c r="J218" s="4">
        <v>0</v>
      </c>
      <c r="L218" s="4">
        <v>17738</v>
      </c>
      <c r="N218" s="4">
        <v>0</v>
      </c>
      <c r="P218" s="4">
        <v>9223</v>
      </c>
      <c r="R218" s="4">
        <v>0</v>
      </c>
      <c r="T218" s="4">
        <v>1488</v>
      </c>
      <c r="V218" s="4">
        <v>10824</v>
      </c>
      <c r="X218" s="4">
        <v>2308</v>
      </c>
      <c r="Z218" s="4">
        <v>0</v>
      </c>
      <c r="AB218" s="4">
        <v>0</v>
      </c>
      <c r="AD218" s="4">
        <v>53541</v>
      </c>
      <c r="AF218" s="4">
        <v>0</v>
      </c>
      <c r="AH218" s="4">
        <f>SUM(F218:AF218)</f>
        <v>654028</v>
      </c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1:66" s="4" customFormat="1">
      <c r="A219" s="4">
        <v>219</v>
      </c>
      <c r="B219" s="4" t="s">
        <v>232</v>
      </c>
      <c r="D219" s="4" t="s">
        <v>22</v>
      </c>
      <c r="F219" s="4">
        <v>113642</v>
      </c>
      <c r="H219" s="4">
        <v>383184</v>
      </c>
      <c r="J219" s="4">
        <v>0</v>
      </c>
      <c r="L219" s="4">
        <v>9537</v>
      </c>
      <c r="N219" s="4">
        <v>0</v>
      </c>
      <c r="P219" s="4">
        <v>5720</v>
      </c>
      <c r="R219" s="4">
        <v>0</v>
      </c>
      <c r="T219" s="4">
        <v>0</v>
      </c>
      <c r="V219" s="4">
        <v>984</v>
      </c>
      <c r="X219" s="4">
        <v>0</v>
      </c>
      <c r="Z219" s="4">
        <v>0</v>
      </c>
      <c r="AB219" s="4">
        <v>0</v>
      </c>
      <c r="AD219" s="4">
        <v>0</v>
      </c>
      <c r="AF219" s="4">
        <v>0</v>
      </c>
      <c r="AH219" s="4">
        <f>SUM(F219:AF219)</f>
        <v>513067</v>
      </c>
    </row>
    <row r="220" spans="1:66" s="4" customFormat="1">
      <c r="A220" s="4">
        <v>187</v>
      </c>
      <c r="B220" s="4" t="s">
        <v>607</v>
      </c>
      <c r="D220" s="4" t="s">
        <v>66</v>
      </c>
      <c r="F220" s="4">
        <v>99923</v>
      </c>
      <c r="H220" s="4">
        <v>1077404</v>
      </c>
      <c r="J220" s="4">
        <v>0</v>
      </c>
      <c r="L220" s="4">
        <v>16799</v>
      </c>
      <c r="N220" s="4">
        <v>0</v>
      </c>
      <c r="P220" s="4">
        <v>38200</v>
      </c>
      <c r="R220" s="4">
        <v>0</v>
      </c>
      <c r="T220" s="4">
        <v>4712</v>
      </c>
      <c r="V220" s="4">
        <v>2724</v>
      </c>
      <c r="X220" s="4">
        <v>50619</v>
      </c>
      <c r="Z220" s="4">
        <v>680</v>
      </c>
      <c r="AB220" s="4">
        <v>0</v>
      </c>
      <c r="AD220" s="4">
        <v>0</v>
      </c>
      <c r="AF220" s="4">
        <v>0</v>
      </c>
      <c r="AH220" s="4">
        <f>SUM(F220:AF220)</f>
        <v>1291061</v>
      </c>
    </row>
    <row r="221" spans="1:66" s="4" customFormat="1">
      <c r="A221" s="4">
        <v>176</v>
      </c>
      <c r="B221" s="4" t="s">
        <v>233</v>
      </c>
      <c r="D221" s="4" t="s">
        <v>68</v>
      </c>
      <c r="F221" s="4">
        <v>0</v>
      </c>
      <c r="H221" s="4">
        <v>256758</v>
      </c>
      <c r="J221" s="4">
        <v>0</v>
      </c>
      <c r="L221" s="4">
        <v>0</v>
      </c>
      <c r="N221" s="4">
        <v>0</v>
      </c>
      <c r="P221" s="4">
        <v>5283</v>
      </c>
      <c r="R221" s="4">
        <v>0</v>
      </c>
      <c r="T221" s="4">
        <v>25</v>
      </c>
      <c r="V221" s="4">
        <v>58</v>
      </c>
      <c r="X221" s="4">
        <v>430</v>
      </c>
      <c r="Z221" s="4">
        <v>0</v>
      </c>
      <c r="AB221" s="4">
        <v>0</v>
      </c>
      <c r="AD221" s="4">
        <v>0</v>
      </c>
      <c r="AF221" s="4">
        <v>0</v>
      </c>
      <c r="AH221" s="4">
        <f>SUM(F221:AF221)</f>
        <v>262554</v>
      </c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</row>
    <row r="222" spans="1:66" s="4" customFormat="1">
      <c r="A222" s="4">
        <v>128</v>
      </c>
      <c r="B222" s="4" t="s">
        <v>234</v>
      </c>
      <c r="D222" s="4" t="s">
        <v>15</v>
      </c>
      <c r="F222" s="4">
        <v>551856</v>
      </c>
      <c r="H222" s="4">
        <v>416544</v>
      </c>
      <c r="J222" s="4">
        <v>0</v>
      </c>
      <c r="L222" s="4">
        <v>25295</v>
      </c>
      <c r="N222" s="4">
        <v>0</v>
      </c>
      <c r="P222" s="4">
        <v>25167</v>
      </c>
      <c r="R222" s="4">
        <v>92</v>
      </c>
      <c r="T222" s="4">
        <v>0</v>
      </c>
      <c r="V222" s="4">
        <v>15465</v>
      </c>
      <c r="X222" s="4">
        <v>11630</v>
      </c>
      <c r="Z222" s="4">
        <v>15</v>
      </c>
      <c r="AB222" s="4">
        <v>20000</v>
      </c>
      <c r="AD222" s="4">
        <v>0</v>
      </c>
      <c r="AF222" s="4">
        <v>0</v>
      </c>
      <c r="AH222" s="4">
        <f>SUM(F222:AF222)</f>
        <v>1066064</v>
      </c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1:66" s="4" customFormat="1">
      <c r="A223" s="4">
        <v>188</v>
      </c>
      <c r="B223" s="4" t="s">
        <v>235</v>
      </c>
      <c r="D223" s="4" t="s">
        <v>236</v>
      </c>
      <c r="F223" s="4">
        <v>0</v>
      </c>
      <c r="H223" s="4">
        <v>0</v>
      </c>
      <c r="J223" s="4">
        <v>0</v>
      </c>
      <c r="L223" s="4">
        <v>1824729</v>
      </c>
      <c r="N223" s="4">
        <v>0</v>
      </c>
      <c r="P223" s="4">
        <v>62225</v>
      </c>
      <c r="R223" s="4">
        <v>0</v>
      </c>
      <c r="T223" s="4">
        <v>311518</v>
      </c>
      <c r="V223" s="4">
        <v>449062</v>
      </c>
      <c r="X223" s="4">
        <v>10304</v>
      </c>
      <c r="Z223" s="4">
        <v>0</v>
      </c>
      <c r="AB223" s="4">
        <v>0</v>
      </c>
      <c r="AD223" s="4">
        <v>0</v>
      </c>
      <c r="AF223" s="4">
        <v>0</v>
      </c>
      <c r="AH223" s="4">
        <f>SUM(F223:AF223)</f>
        <v>2657838</v>
      </c>
    </row>
    <row r="224" spans="1:66" s="4" customFormat="1">
      <c r="A224" s="4">
        <v>72</v>
      </c>
      <c r="B224" s="4" t="s">
        <v>312</v>
      </c>
      <c r="D224" s="4" t="s">
        <v>67</v>
      </c>
      <c r="F224" s="4">
        <v>0</v>
      </c>
      <c r="H224" s="4">
        <v>1047585</v>
      </c>
      <c r="J224" s="4">
        <v>0</v>
      </c>
      <c r="L224" s="4">
        <v>0</v>
      </c>
      <c r="N224" s="4">
        <v>0</v>
      </c>
      <c r="P224" s="4">
        <v>40434</v>
      </c>
      <c r="R224" s="4">
        <v>0</v>
      </c>
      <c r="T224" s="4">
        <v>67897</v>
      </c>
      <c r="V224" s="4">
        <v>7593</v>
      </c>
      <c r="X224" s="4">
        <v>3454</v>
      </c>
      <c r="Z224" s="4">
        <v>301</v>
      </c>
      <c r="AB224" s="4">
        <v>0</v>
      </c>
      <c r="AD224" s="4">
        <v>0</v>
      </c>
      <c r="AF224" s="4">
        <v>0</v>
      </c>
      <c r="AH224" s="4">
        <f>SUM(F224:AF224)</f>
        <v>1167264</v>
      </c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</row>
    <row r="225" spans="1:66" s="4" customFormat="1">
      <c r="A225" s="4">
        <v>163</v>
      </c>
      <c r="B225" s="4" t="s">
        <v>587</v>
      </c>
      <c r="D225" s="4" t="s">
        <v>53</v>
      </c>
      <c r="F225" s="4">
        <v>0</v>
      </c>
      <c r="H225" s="4">
        <v>787027</v>
      </c>
      <c r="J225" s="4">
        <v>0</v>
      </c>
      <c r="L225" s="4">
        <v>0</v>
      </c>
      <c r="N225" s="4">
        <v>0</v>
      </c>
      <c r="P225" s="4">
        <v>17411</v>
      </c>
      <c r="R225" s="4">
        <v>0</v>
      </c>
      <c r="T225" s="4">
        <v>440575</v>
      </c>
      <c r="V225" s="4">
        <v>13972</v>
      </c>
      <c r="X225" s="4">
        <v>4187</v>
      </c>
      <c r="Z225" s="4">
        <v>0</v>
      </c>
      <c r="AB225" s="4">
        <v>0</v>
      </c>
      <c r="AD225" s="4">
        <v>0</v>
      </c>
      <c r="AF225" s="4">
        <v>0</v>
      </c>
      <c r="AH225" s="4">
        <f>SUM(F225:AF225)</f>
        <v>1263172</v>
      </c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1:66" s="4" customFormat="1">
      <c r="A226" s="4">
        <v>151</v>
      </c>
      <c r="B226" s="4" t="s">
        <v>237</v>
      </c>
      <c r="D226" s="4" t="s">
        <v>12</v>
      </c>
      <c r="F226" s="4">
        <v>197213</v>
      </c>
      <c r="H226" s="4">
        <v>426366</v>
      </c>
      <c r="J226" s="4">
        <v>0</v>
      </c>
      <c r="L226" s="4">
        <v>0</v>
      </c>
      <c r="N226" s="4">
        <v>0</v>
      </c>
      <c r="P226" s="4">
        <v>22619</v>
      </c>
      <c r="R226" s="4">
        <v>0</v>
      </c>
      <c r="T226" s="4">
        <v>2673</v>
      </c>
      <c r="V226" s="4">
        <v>4244</v>
      </c>
      <c r="X226" s="4">
        <v>757</v>
      </c>
      <c r="Z226" s="4">
        <v>0</v>
      </c>
      <c r="AB226" s="4">
        <v>0</v>
      </c>
      <c r="AD226" s="4">
        <v>0</v>
      </c>
      <c r="AF226" s="4">
        <v>0</v>
      </c>
      <c r="AH226" s="4">
        <f>SUM(F226:AF226)</f>
        <v>653872</v>
      </c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</row>
    <row r="227" spans="1:66" s="4" customFormat="1">
      <c r="A227" s="4">
        <v>192</v>
      </c>
      <c r="B227" s="4" t="s">
        <v>608</v>
      </c>
      <c r="D227" s="4" t="s">
        <v>173</v>
      </c>
      <c r="F227" s="4">
        <v>0</v>
      </c>
      <c r="H227" s="4">
        <v>2519376</v>
      </c>
      <c r="J227" s="4">
        <v>0</v>
      </c>
      <c r="L227" s="4">
        <v>0</v>
      </c>
      <c r="N227" s="4">
        <v>0</v>
      </c>
      <c r="P227" s="4">
        <v>44502</v>
      </c>
      <c r="R227" s="4">
        <v>38472</v>
      </c>
      <c r="T227" s="4">
        <v>5259</v>
      </c>
      <c r="V227" s="4">
        <v>34958</v>
      </c>
      <c r="X227" s="4">
        <v>30537</v>
      </c>
      <c r="Z227" s="4">
        <v>0</v>
      </c>
      <c r="AB227" s="4">
        <v>16000</v>
      </c>
      <c r="AD227" s="4">
        <v>0</v>
      </c>
      <c r="AF227" s="4">
        <v>0</v>
      </c>
      <c r="AH227" s="4">
        <f>SUM(F227:AF227)</f>
        <v>2689104</v>
      </c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1:66" s="4" customFormat="1">
      <c r="A228" s="4">
        <v>55</v>
      </c>
      <c r="B228" s="4" t="s">
        <v>445</v>
      </c>
      <c r="D228" s="4" t="s">
        <v>19</v>
      </c>
      <c r="F228" s="4">
        <v>3152608</v>
      </c>
      <c r="H228" s="4">
        <v>1375529</v>
      </c>
      <c r="J228" s="4">
        <v>0</v>
      </c>
      <c r="L228" s="4">
        <v>0</v>
      </c>
      <c r="N228" s="4">
        <v>0</v>
      </c>
      <c r="P228" s="4">
        <v>89751</v>
      </c>
      <c r="R228" s="4">
        <v>0</v>
      </c>
      <c r="T228" s="4">
        <v>29831</v>
      </c>
      <c r="V228" s="4">
        <v>137623</v>
      </c>
      <c r="X228" s="4">
        <v>24749</v>
      </c>
      <c r="Z228" s="4">
        <v>0</v>
      </c>
      <c r="AB228" s="4">
        <v>104421</v>
      </c>
      <c r="AD228" s="4">
        <v>0</v>
      </c>
      <c r="AF228" s="4">
        <v>0</v>
      </c>
      <c r="AH228" s="4">
        <f>SUM(F228:AF228)</f>
        <v>4914512</v>
      </c>
    </row>
    <row r="229" spans="1:66" s="4" customFormat="1">
      <c r="A229" s="4">
        <v>202</v>
      </c>
      <c r="B229" s="4" t="s">
        <v>23</v>
      </c>
      <c r="D229" s="4" t="s">
        <v>24</v>
      </c>
      <c r="F229" s="4">
        <v>0</v>
      </c>
      <c r="H229" s="4">
        <v>2951781</v>
      </c>
      <c r="J229" s="4">
        <v>0</v>
      </c>
      <c r="L229" s="4">
        <v>0</v>
      </c>
      <c r="N229" s="4">
        <v>0</v>
      </c>
      <c r="P229" s="4">
        <v>79750</v>
      </c>
      <c r="R229" s="4">
        <v>0</v>
      </c>
      <c r="T229" s="4">
        <v>129893</v>
      </c>
      <c r="V229" s="4">
        <v>32943</v>
      </c>
      <c r="X229" s="4">
        <v>19106</v>
      </c>
      <c r="Z229" s="4">
        <v>0</v>
      </c>
      <c r="AB229" s="4">
        <v>100000</v>
      </c>
      <c r="AD229" s="4">
        <v>0</v>
      </c>
      <c r="AF229" s="4">
        <v>0</v>
      </c>
      <c r="AH229" s="4">
        <f>SUM(F229:AF229)</f>
        <v>3313473</v>
      </c>
    </row>
    <row r="230" spans="1:66" s="4" customFormat="1">
      <c r="A230" s="4">
        <v>196</v>
      </c>
      <c r="B230" s="4" t="s">
        <v>609</v>
      </c>
      <c r="D230" s="4" t="s">
        <v>102</v>
      </c>
      <c r="F230" s="4">
        <v>0</v>
      </c>
      <c r="H230" s="4">
        <v>0</v>
      </c>
      <c r="J230" s="4">
        <v>0</v>
      </c>
      <c r="L230" s="4">
        <v>1325342</v>
      </c>
      <c r="N230" s="4">
        <v>0</v>
      </c>
      <c r="P230" s="4">
        <v>10694</v>
      </c>
      <c r="R230" s="4">
        <v>0</v>
      </c>
      <c r="T230" s="4">
        <v>22446</v>
      </c>
      <c r="V230" s="4">
        <v>0</v>
      </c>
      <c r="X230" s="4">
        <v>35362</v>
      </c>
      <c r="Z230" s="4">
        <v>0</v>
      </c>
      <c r="AB230" s="4">
        <v>0</v>
      </c>
      <c r="AD230" s="4">
        <v>0</v>
      </c>
      <c r="AF230" s="4">
        <v>0</v>
      </c>
      <c r="AH230" s="4">
        <f>SUM(F230:AF230)</f>
        <v>1393844</v>
      </c>
    </row>
    <row r="231" spans="1:66" s="4" customFormat="1">
      <c r="A231" s="4">
        <v>102</v>
      </c>
      <c r="B231" s="4" t="s">
        <v>238</v>
      </c>
      <c r="D231" s="4" t="s">
        <v>46</v>
      </c>
      <c r="F231" s="4">
        <v>0</v>
      </c>
      <c r="H231" s="4">
        <v>552558</v>
      </c>
      <c r="J231" s="4">
        <v>0</v>
      </c>
      <c r="L231" s="4">
        <v>0</v>
      </c>
      <c r="N231" s="4">
        <v>0</v>
      </c>
      <c r="P231" s="4">
        <v>21451</v>
      </c>
      <c r="R231" s="4">
        <v>0</v>
      </c>
      <c r="T231" s="4">
        <v>3189</v>
      </c>
      <c r="V231" s="4">
        <v>4924</v>
      </c>
      <c r="X231" s="4">
        <v>10574</v>
      </c>
      <c r="Z231" s="4">
        <v>0</v>
      </c>
      <c r="AB231" s="4">
        <v>0</v>
      </c>
      <c r="AD231" s="4">
        <v>0</v>
      </c>
      <c r="AF231" s="4">
        <v>0</v>
      </c>
      <c r="AH231" s="4">
        <f>SUM(F231:AF231)</f>
        <v>592696</v>
      </c>
    </row>
    <row r="232" spans="1:66" s="4" customFormat="1">
      <c r="A232" s="39">
        <v>197.1</v>
      </c>
      <c r="B232" s="3" t="s">
        <v>585</v>
      </c>
      <c r="C232" s="3"/>
      <c r="D232" s="3" t="s">
        <v>586</v>
      </c>
      <c r="E232" s="3"/>
      <c r="F232" s="4">
        <v>0</v>
      </c>
      <c r="H232" s="4">
        <v>1256901</v>
      </c>
      <c r="J232" s="4">
        <v>0</v>
      </c>
      <c r="L232" s="4">
        <v>386</v>
      </c>
      <c r="N232" s="4">
        <v>0</v>
      </c>
      <c r="P232" s="4">
        <v>17987</v>
      </c>
      <c r="R232" s="4">
        <v>0</v>
      </c>
      <c r="T232" s="4">
        <v>50326</v>
      </c>
      <c r="V232" s="4">
        <v>39573</v>
      </c>
      <c r="X232" s="4">
        <v>141207</v>
      </c>
      <c r="Z232" s="4">
        <v>0</v>
      </c>
      <c r="AB232" s="4">
        <v>500000</v>
      </c>
      <c r="AD232" s="4">
        <v>0</v>
      </c>
      <c r="AF232" s="4">
        <v>0</v>
      </c>
      <c r="AH232" s="4">
        <f>SUM(F232:AF232)</f>
        <v>2006380</v>
      </c>
    </row>
    <row r="233" spans="1:66" s="4" customFormat="1">
      <c r="A233" s="4">
        <v>193</v>
      </c>
      <c r="B233" s="4" t="s">
        <v>239</v>
      </c>
      <c r="D233" s="4" t="s">
        <v>173</v>
      </c>
      <c r="F233" s="4">
        <v>466000</v>
      </c>
      <c r="H233" s="4">
        <v>1061841</v>
      </c>
      <c r="J233" s="4">
        <v>0</v>
      </c>
      <c r="L233" s="4">
        <v>53063</v>
      </c>
      <c r="N233" s="4">
        <v>0</v>
      </c>
      <c r="P233" s="4">
        <v>23648</v>
      </c>
      <c r="R233" s="4">
        <v>74</v>
      </c>
      <c r="T233" s="4">
        <v>6986</v>
      </c>
      <c r="V233" s="4">
        <v>55078</v>
      </c>
      <c r="X233" s="4">
        <v>30260</v>
      </c>
      <c r="Z233" s="4">
        <v>0</v>
      </c>
      <c r="AB233" s="4">
        <v>0</v>
      </c>
      <c r="AD233" s="4">
        <v>0</v>
      </c>
      <c r="AF233" s="4">
        <v>9148</v>
      </c>
      <c r="AH233" s="4">
        <f>SUM(F233:AF233)</f>
        <v>1706098</v>
      </c>
    </row>
    <row r="234" spans="1:66" s="4" customFormat="1">
      <c r="A234" s="4">
        <v>153</v>
      </c>
      <c r="B234" s="4" t="s">
        <v>240</v>
      </c>
      <c r="D234" s="4" t="s">
        <v>215</v>
      </c>
      <c r="F234" s="4">
        <v>3188943</v>
      </c>
      <c r="H234" s="4">
        <v>9784495</v>
      </c>
      <c r="J234" s="4">
        <v>0</v>
      </c>
      <c r="L234" s="4">
        <v>682169</v>
      </c>
      <c r="N234" s="4">
        <v>0</v>
      </c>
      <c r="P234" s="4">
        <v>247684</v>
      </c>
      <c r="R234" s="4">
        <v>21</v>
      </c>
      <c r="T234" s="4">
        <v>381698</v>
      </c>
      <c r="V234" s="4">
        <v>396264</v>
      </c>
      <c r="X234" s="4">
        <v>141344</v>
      </c>
      <c r="Z234" s="4">
        <v>33750</v>
      </c>
      <c r="AB234" s="4">
        <v>1755650</v>
      </c>
      <c r="AD234" s="4">
        <v>0</v>
      </c>
      <c r="AF234" s="4">
        <v>0</v>
      </c>
      <c r="AH234" s="4">
        <f>SUM(F234:AF234)</f>
        <v>16612018</v>
      </c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s="4" customFormat="1"/>
    <row r="236" spans="1:66" s="4" customFormat="1">
      <c r="AH236" s="47" t="s">
        <v>593</v>
      </c>
    </row>
    <row r="237" spans="1:66">
      <c r="B237" s="3" t="s">
        <v>525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66">
      <c r="B238" s="3" t="s">
        <v>527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66">
      <c r="B239" s="41" t="s">
        <v>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66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66" s="36" customFormat="1">
      <c r="F241" s="28"/>
      <c r="G241" s="28"/>
      <c r="H241" s="28" t="s">
        <v>282</v>
      </c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1:66" s="36" customFormat="1">
      <c r="F242" s="28" t="s">
        <v>31</v>
      </c>
      <c r="G242" s="28"/>
      <c r="H242" s="28" t="s">
        <v>283</v>
      </c>
      <c r="I242" s="28"/>
      <c r="J242" s="28"/>
      <c r="K242" s="28"/>
      <c r="L242" s="28"/>
      <c r="M242" s="28"/>
      <c r="N242" s="28"/>
      <c r="O242" s="28"/>
      <c r="P242" s="28"/>
      <c r="Q242" s="28"/>
      <c r="R242" s="28" t="s">
        <v>29</v>
      </c>
      <c r="S242" s="28"/>
      <c r="T242" s="28" t="s">
        <v>289</v>
      </c>
      <c r="U242" s="28"/>
      <c r="V242" s="28"/>
      <c r="W242" s="28"/>
      <c r="X242" s="28"/>
      <c r="Y242" s="28"/>
      <c r="Z242" s="28" t="s">
        <v>294</v>
      </c>
      <c r="AA242" s="28"/>
      <c r="AB242" s="28"/>
      <c r="AC242" s="28"/>
      <c r="AD242" s="28"/>
      <c r="AE242" s="28"/>
      <c r="AF242" s="28" t="s">
        <v>0</v>
      </c>
      <c r="AG242" s="28"/>
      <c r="AH242" s="28"/>
    </row>
    <row r="243" spans="1:66" s="36" customFormat="1" ht="12" customHeight="1">
      <c r="F243" s="28" t="s">
        <v>0</v>
      </c>
      <c r="G243" s="28"/>
      <c r="H243" s="28" t="s">
        <v>284</v>
      </c>
      <c r="I243" s="28"/>
      <c r="J243" s="28" t="s">
        <v>558</v>
      </c>
      <c r="K243" s="28"/>
      <c r="L243" s="28" t="s">
        <v>348</v>
      </c>
      <c r="M243" s="28"/>
      <c r="N243" s="28"/>
      <c r="O243" s="28"/>
      <c r="P243" s="28" t="s">
        <v>286</v>
      </c>
      <c r="Q243" s="28"/>
      <c r="R243" s="28" t="s">
        <v>288</v>
      </c>
      <c r="S243" s="28"/>
      <c r="T243" s="28" t="s">
        <v>290</v>
      </c>
      <c r="U243" s="28"/>
      <c r="V243" s="28" t="s">
        <v>292</v>
      </c>
      <c r="W243" s="28"/>
      <c r="X243" s="28"/>
      <c r="Y243" s="28"/>
      <c r="Z243" s="28" t="s">
        <v>295</v>
      </c>
      <c r="AA243" s="28"/>
      <c r="AB243" s="28"/>
      <c r="AC243" s="28"/>
      <c r="AD243" s="28"/>
      <c r="AE243" s="28"/>
      <c r="AF243" s="28" t="s">
        <v>296</v>
      </c>
      <c r="AG243" s="28"/>
      <c r="AH243" s="28"/>
    </row>
    <row r="244" spans="1:66" s="36" customFormat="1" ht="12" customHeight="1">
      <c r="A244" s="36" t="s">
        <v>580</v>
      </c>
      <c r="B244" s="37"/>
      <c r="C244" s="48"/>
      <c r="D244" s="37" t="s">
        <v>6</v>
      </c>
      <c r="E244" s="48"/>
      <c r="F244" s="56" t="s">
        <v>281</v>
      </c>
      <c r="G244" s="53"/>
      <c r="H244" s="56" t="s">
        <v>285</v>
      </c>
      <c r="I244" s="53"/>
      <c r="J244" s="56" t="s">
        <v>559</v>
      </c>
      <c r="K244" s="53"/>
      <c r="L244" s="56" t="s">
        <v>349</v>
      </c>
      <c r="M244" s="53"/>
      <c r="N244" s="56" t="s">
        <v>560</v>
      </c>
      <c r="O244" s="53"/>
      <c r="P244" s="56" t="s">
        <v>287</v>
      </c>
      <c r="Q244" s="53"/>
      <c r="R244" s="56" t="s">
        <v>562</v>
      </c>
      <c r="S244" s="53"/>
      <c r="T244" s="56" t="s">
        <v>291</v>
      </c>
      <c r="U244" s="53"/>
      <c r="V244" s="56" t="s">
        <v>293</v>
      </c>
      <c r="W244" s="53"/>
      <c r="X244" s="56" t="s">
        <v>1</v>
      </c>
      <c r="Y244" s="53"/>
      <c r="Z244" s="56" t="s">
        <v>32</v>
      </c>
      <c r="AA244" s="53"/>
      <c r="AB244" s="56" t="s">
        <v>509</v>
      </c>
      <c r="AC244" s="53"/>
      <c r="AD244" s="56" t="s">
        <v>510</v>
      </c>
      <c r="AE244" s="53"/>
      <c r="AF244" s="56" t="s">
        <v>297</v>
      </c>
      <c r="AG244" s="53"/>
      <c r="AH244" s="40" t="s">
        <v>28</v>
      </c>
    </row>
    <row r="245" spans="1:66" s="7" customFormat="1">
      <c r="A245" s="7">
        <v>238</v>
      </c>
      <c r="B245" s="7" t="s">
        <v>241</v>
      </c>
      <c r="D245" s="7" t="s">
        <v>193</v>
      </c>
      <c r="F245" s="7">
        <v>383521</v>
      </c>
      <c r="H245" s="7">
        <v>0</v>
      </c>
      <c r="J245" s="7">
        <v>0</v>
      </c>
      <c r="L245" s="7">
        <v>0</v>
      </c>
      <c r="N245" s="7">
        <v>0</v>
      </c>
      <c r="P245" s="7">
        <v>6432</v>
      </c>
      <c r="R245" s="7">
        <v>0</v>
      </c>
      <c r="T245" s="7">
        <v>1390</v>
      </c>
      <c r="V245" s="7">
        <v>5413</v>
      </c>
      <c r="X245" s="7">
        <v>912</v>
      </c>
      <c r="Z245" s="7">
        <v>0</v>
      </c>
      <c r="AB245" s="7">
        <v>0</v>
      </c>
      <c r="AD245" s="7">
        <v>0</v>
      </c>
      <c r="AF245" s="7">
        <v>0</v>
      </c>
      <c r="AH245" s="7">
        <f>SUM(F245:AF245)</f>
        <v>397668</v>
      </c>
    </row>
    <row r="246" spans="1:66" s="4" customFormat="1">
      <c r="A246" s="4">
        <v>100</v>
      </c>
      <c r="B246" s="4" t="s">
        <v>314</v>
      </c>
      <c r="D246" s="4" t="s">
        <v>61</v>
      </c>
      <c r="F246" s="4">
        <v>18116</v>
      </c>
      <c r="H246" s="4">
        <v>107779</v>
      </c>
      <c r="J246" s="4">
        <v>0</v>
      </c>
      <c r="L246" s="4">
        <v>0</v>
      </c>
      <c r="N246" s="4">
        <v>0</v>
      </c>
      <c r="P246" s="4">
        <v>1748</v>
      </c>
      <c r="R246" s="4">
        <v>0</v>
      </c>
      <c r="T246" s="4">
        <v>1451</v>
      </c>
      <c r="V246" s="4">
        <v>1133</v>
      </c>
      <c r="X246" s="4">
        <v>2184</v>
      </c>
      <c r="Z246" s="4">
        <v>0</v>
      </c>
      <c r="AB246" s="4">
        <v>0</v>
      </c>
      <c r="AD246" s="4">
        <v>0</v>
      </c>
      <c r="AF246" s="4">
        <v>0</v>
      </c>
      <c r="AH246" s="4">
        <f>SUM(F246:AF246)</f>
        <v>132411</v>
      </c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s="4" customFormat="1">
      <c r="A247" s="4">
        <v>68</v>
      </c>
      <c r="B247" s="4" t="s">
        <v>467</v>
      </c>
      <c r="D247" s="4" t="s">
        <v>167</v>
      </c>
      <c r="F247" s="4">
        <v>530876</v>
      </c>
      <c r="H247" s="4">
        <v>616220</v>
      </c>
      <c r="J247" s="4">
        <v>0</v>
      </c>
      <c r="L247" s="4">
        <v>0</v>
      </c>
      <c r="N247" s="4">
        <v>0</v>
      </c>
      <c r="P247" s="4">
        <v>33316</v>
      </c>
      <c r="R247" s="4">
        <v>5</v>
      </c>
      <c r="T247" s="4">
        <v>39593</v>
      </c>
      <c r="V247" s="4">
        <v>127593</v>
      </c>
      <c r="X247" s="4">
        <v>23137</v>
      </c>
      <c r="Z247" s="4">
        <v>0</v>
      </c>
      <c r="AB247" s="4">
        <v>122000</v>
      </c>
      <c r="AD247" s="4">
        <v>0</v>
      </c>
      <c r="AF247" s="4">
        <v>3502105</v>
      </c>
      <c r="AH247" s="4">
        <f>SUM(F247:AF247)</f>
        <v>4994845</v>
      </c>
    </row>
    <row r="248" spans="1:66" s="4" customFormat="1">
      <c r="A248" s="4">
        <v>15</v>
      </c>
      <c r="B248" s="4" t="s">
        <v>243</v>
      </c>
      <c r="D248" s="4" t="s">
        <v>43</v>
      </c>
      <c r="F248" s="4">
        <v>0</v>
      </c>
      <c r="H248" s="4">
        <v>182649</v>
      </c>
      <c r="J248" s="4">
        <v>0</v>
      </c>
      <c r="L248" s="4">
        <v>0</v>
      </c>
      <c r="N248" s="4">
        <v>0</v>
      </c>
      <c r="P248" s="4">
        <v>7221</v>
      </c>
      <c r="R248" s="4">
        <v>0</v>
      </c>
      <c r="T248" s="4">
        <v>2556</v>
      </c>
      <c r="V248" s="4">
        <v>5865</v>
      </c>
      <c r="X248" s="4">
        <v>311</v>
      </c>
      <c r="Z248" s="4">
        <v>0</v>
      </c>
      <c r="AB248" s="4">
        <v>0</v>
      </c>
      <c r="AD248" s="4">
        <v>0</v>
      </c>
      <c r="AF248" s="4">
        <v>0</v>
      </c>
      <c r="AH248" s="4">
        <f>SUM(F248:AF248)</f>
        <v>198602</v>
      </c>
    </row>
    <row r="249" spans="1:66" s="4" customFormat="1">
      <c r="A249" s="4">
        <v>161</v>
      </c>
      <c r="B249" s="4" t="s">
        <v>343</v>
      </c>
      <c r="D249" s="4" t="s">
        <v>50</v>
      </c>
      <c r="F249" s="4">
        <v>0</v>
      </c>
      <c r="H249" s="4">
        <v>189419</v>
      </c>
      <c r="J249" s="4">
        <v>0</v>
      </c>
      <c r="L249" s="4">
        <v>0</v>
      </c>
      <c r="N249" s="4">
        <v>0</v>
      </c>
      <c r="P249" s="4">
        <v>1598</v>
      </c>
      <c r="R249" s="4">
        <v>0</v>
      </c>
      <c r="T249" s="4">
        <v>85</v>
      </c>
      <c r="V249" s="4">
        <v>1371</v>
      </c>
      <c r="X249" s="4">
        <v>1104</v>
      </c>
      <c r="Z249" s="4">
        <v>0</v>
      </c>
      <c r="AB249" s="4">
        <v>0</v>
      </c>
      <c r="AD249" s="4">
        <v>21853</v>
      </c>
      <c r="AF249" s="4">
        <v>0</v>
      </c>
      <c r="AH249" s="4">
        <f>SUM(F249:AF249)</f>
        <v>215430</v>
      </c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s="4" customFormat="1">
      <c r="A250" s="4">
        <v>56</v>
      </c>
      <c r="B250" s="4" t="s">
        <v>244</v>
      </c>
      <c r="D250" s="4" t="s">
        <v>19</v>
      </c>
      <c r="F250" s="4">
        <v>3155979</v>
      </c>
      <c r="H250" s="4">
        <v>802750</v>
      </c>
      <c r="J250" s="4">
        <v>0</v>
      </c>
      <c r="L250" s="4">
        <v>490248</v>
      </c>
      <c r="N250" s="4">
        <v>0</v>
      </c>
      <c r="P250" s="4">
        <v>61150</v>
      </c>
      <c r="R250" s="4">
        <v>0</v>
      </c>
      <c r="T250" s="4">
        <v>28313</v>
      </c>
      <c r="V250" s="4">
        <v>145806</v>
      </c>
      <c r="X250" s="4">
        <v>3781</v>
      </c>
      <c r="Z250" s="4">
        <v>0</v>
      </c>
      <c r="AB250" s="4">
        <v>500000</v>
      </c>
      <c r="AD250" s="4">
        <v>0</v>
      </c>
      <c r="AF250" s="4">
        <v>0</v>
      </c>
      <c r="AH250" s="4">
        <f>SUM(F250:AF250)</f>
        <v>5188027</v>
      </c>
    </row>
    <row r="251" spans="1:66" s="4" customFormat="1">
      <c r="A251" s="4">
        <v>214</v>
      </c>
      <c r="B251" s="4" t="s">
        <v>245</v>
      </c>
      <c r="D251" s="4" t="s">
        <v>25</v>
      </c>
      <c r="F251" s="4">
        <v>0</v>
      </c>
      <c r="H251" s="4">
        <v>1721886</v>
      </c>
      <c r="J251" s="4">
        <v>0</v>
      </c>
      <c r="L251" s="4">
        <v>0</v>
      </c>
      <c r="N251" s="4">
        <v>0</v>
      </c>
      <c r="P251" s="4">
        <v>28692</v>
      </c>
      <c r="R251" s="4">
        <v>0</v>
      </c>
      <c r="T251" s="4">
        <v>49970</v>
      </c>
      <c r="V251" s="4">
        <v>27297</v>
      </c>
      <c r="X251" s="4">
        <f>17294+26310</f>
        <v>43604</v>
      </c>
      <c r="Z251" s="4">
        <v>0</v>
      </c>
      <c r="AB251" s="4">
        <v>0</v>
      </c>
      <c r="AD251" s="4">
        <v>0</v>
      </c>
      <c r="AF251" s="4">
        <v>0</v>
      </c>
      <c r="AH251" s="4">
        <f>SUM(F251:AF251)</f>
        <v>1871449</v>
      </c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</row>
    <row r="252" spans="1:66" s="4" customFormat="1">
      <c r="A252" s="4">
        <v>253</v>
      </c>
      <c r="B252" s="4" t="s">
        <v>246</v>
      </c>
      <c r="D252" s="4" t="s">
        <v>65</v>
      </c>
      <c r="F252" s="4">
        <v>391398</v>
      </c>
      <c r="H252" s="4">
        <v>608681</v>
      </c>
      <c r="J252" s="4">
        <v>0</v>
      </c>
      <c r="L252" s="4">
        <v>27346</v>
      </c>
      <c r="N252" s="4">
        <v>0</v>
      </c>
      <c r="P252" s="4">
        <v>20734</v>
      </c>
      <c r="R252" s="4">
        <v>0</v>
      </c>
      <c r="T252" s="4">
        <v>25</v>
      </c>
      <c r="V252" s="4">
        <v>12347</v>
      </c>
      <c r="X252" s="4">
        <v>9175</v>
      </c>
      <c r="Z252" s="4">
        <v>0</v>
      </c>
      <c r="AB252" s="4">
        <v>0</v>
      </c>
      <c r="AD252" s="4">
        <v>0</v>
      </c>
      <c r="AF252" s="4">
        <v>0</v>
      </c>
      <c r="AH252" s="4">
        <f>SUM(F252:AF252)</f>
        <v>1069706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</row>
    <row r="253" spans="1:66" s="4" customFormat="1">
      <c r="A253" s="4">
        <v>36</v>
      </c>
      <c r="B253" s="4" t="s">
        <v>247</v>
      </c>
      <c r="D253" s="4" t="s">
        <v>69</v>
      </c>
      <c r="F253" s="4">
        <v>0</v>
      </c>
      <c r="H253" s="4">
        <v>202798</v>
      </c>
      <c r="J253" s="4">
        <v>0</v>
      </c>
      <c r="L253" s="4">
        <v>42441</v>
      </c>
      <c r="N253" s="4">
        <v>0</v>
      </c>
      <c r="P253" s="4">
        <v>2772</v>
      </c>
      <c r="R253" s="4">
        <v>0</v>
      </c>
      <c r="T253" s="4">
        <v>365</v>
      </c>
      <c r="V253" s="4">
        <v>17512</v>
      </c>
      <c r="X253" s="4">
        <v>3502</v>
      </c>
      <c r="Z253" s="4">
        <v>0</v>
      </c>
      <c r="AB253" s="4">
        <v>0</v>
      </c>
      <c r="AD253" s="4">
        <v>0</v>
      </c>
      <c r="AF253" s="4">
        <v>0</v>
      </c>
      <c r="AH253" s="4">
        <f>SUM(F253:AF253)</f>
        <v>269390</v>
      </c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</row>
    <row r="254" spans="1:66" s="4" customFormat="1">
      <c r="A254" s="4">
        <v>30</v>
      </c>
      <c r="B254" s="4" t="s">
        <v>347</v>
      </c>
      <c r="D254" s="4" t="s">
        <v>62</v>
      </c>
      <c r="F254" s="4">
        <v>0</v>
      </c>
      <c r="H254" s="4">
        <v>306680</v>
      </c>
      <c r="J254" s="4">
        <v>0</v>
      </c>
      <c r="L254" s="4">
        <v>1146</v>
      </c>
      <c r="N254" s="4">
        <v>0</v>
      </c>
      <c r="P254" s="4">
        <v>13107</v>
      </c>
      <c r="R254" s="4">
        <v>0</v>
      </c>
      <c r="T254" s="4">
        <v>9363</v>
      </c>
      <c r="V254" s="4">
        <v>9056</v>
      </c>
      <c r="X254" s="4">
        <v>0</v>
      </c>
      <c r="Z254" s="4">
        <v>0</v>
      </c>
      <c r="AB254" s="4">
        <v>50000</v>
      </c>
      <c r="AD254" s="4">
        <v>0</v>
      </c>
      <c r="AF254" s="4">
        <v>0</v>
      </c>
      <c r="AH254" s="4">
        <f>SUM(F254:AF254)</f>
        <v>389352</v>
      </c>
    </row>
    <row r="255" spans="1:66" s="4" customFormat="1">
      <c r="A255" s="4">
        <v>43</v>
      </c>
      <c r="B255" s="4" t="s">
        <v>248</v>
      </c>
      <c r="D255" s="4" t="s">
        <v>51</v>
      </c>
      <c r="F255" s="4">
        <v>0</v>
      </c>
      <c r="H255" s="4">
        <v>884040</v>
      </c>
      <c r="J255" s="4">
        <v>0</v>
      </c>
      <c r="L255" s="4">
        <v>0</v>
      </c>
      <c r="N255" s="4">
        <v>0</v>
      </c>
      <c r="P255" s="4">
        <v>27431</v>
      </c>
      <c r="R255" s="4">
        <v>0</v>
      </c>
      <c r="T255" s="4">
        <v>18708</v>
      </c>
      <c r="V255" s="4">
        <v>23201</v>
      </c>
      <c r="X255" s="4">
        <v>215</v>
      </c>
      <c r="Z255" s="4">
        <v>0</v>
      </c>
      <c r="AB255" s="4">
        <v>0</v>
      </c>
      <c r="AD255" s="4">
        <v>0</v>
      </c>
      <c r="AF255" s="4">
        <v>0</v>
      </c>
      <c r="AH255" s="4">
        <f>SUM(F255:AF255)</f>
        <v>953595</v>
      </c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</row>
    <row r="256" spans="1:66" s="4" customFormat="1">
      <c r="A256" s="4">
        <v>244</v>
      </c>
      <c r="B256" s="4" t="s">
        <v>249</v>
      </c>
      <c r="D256" s="4" t="s">
        <v>54</v>
      </c>
      <c r="F256" s="4">
        <v>0</v>
      </c>
      <c r="H256" s="4">
        <v>664183</v>
      </c>
      <c r="J256" s="4">
        <v>0</v>
      </c>
      <c r="L256" s="4">
        <v>0</v>
      </c>
      <c r="N256" s="4">
        <v>0</v>
      </c>
      <c r="P256" s="4">
        <v>8483</v>
      </c>
      <c r="R256" s="4">
        <v>0</v>
      </c>
      <c r="T256" s="4">
        <v>636</v>
      </c>
      <c r="V256" s="4">
        <f>1331+472</f>
        <v>1803</v>
      </c>
      <c r="X256" s="4">
        <v>824</v>
      </c>
      <c r="Z256" s="4">
        <v>0</v>
      </c>
      <c r="AB256" s="4">
        <v>0</v>
      </c>
      <c r="AD256" s="4">
        <v>0</v>
      </c>
      <c r="AF256" s="4">
        <v>0</v>
      </c>
      <c r="AH256" s="4">
        <f>SUM(F256:AF256)</f>
        <v>675929</v>
      </c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</row>
    <row r="257" spans="1:66" s="4" customFormat="1">
      <c r="A257" s="4">
        <v>69</v>
      </c>
      <c r="B257" s="4" t="s">
        <v>315</v>
      </c>
      <c r="D257" s="4" t="s">
        <v>167</v>
      </c>
      <c r="F257" s="4">
        <v>681340</v>
      </c>
      <c r="H257" s="4">
        <v>1810974</v>
      </c>
      <c r="J257" s="4">
        <v>0</v>
      </c>
      <c r="L257" s="4">
        <v>0</v>
      </c>
      <c r="N257" s="4">
        <v>0</v>
      </c>
      <c r="P257" s="4">
        <v>79950</v>
      </c>
      <c r="R257" s="4">
        <v>1000</v>
      </c>
      <c r="T257" s="4">
        <v>155129</v>
      </c>
      <c r="V257" s="4">
        <v>121006</v>
      </c>
      <c r="X257" s="4">
        <v>30864</v>
      </c>
      <c r="Z257" s="4">
        <v>0</v>
      </c>
      <c r="AB257" s="4">
        <v>0</v>
      </c>
      <c r="AD257" s="4">
        <v>0</v>
      </c>
      <c r="AF257" s="4">
        <v>0</v>
      </c>
      <c r="AH257" s="4">
        <f>SUM(F257:AF257)</f>
        <v>2880263</v>
      </c>
    </row>
    <row r="258" spans="1:66" s="4" customFormat="1">
      <c r="A258" s="4">
        <v>177</v>
      </c>
      <c r="B258" s="4" t="s">
        <v>250</v>
      </c>
      <c r="D258" s="4" t="s">
        <v>68</v>
      </c>
      <c r="F258" s="4">
        <v>0</v>
      </c>
      <c r="H258" s="4">
        <v>267456</v>
      </c>
      <c r="J258" s="4">
        <v>0</v>
      </c>
      <c r="L258" s="4">
        <v>0</v>
      </c>
      <c r="N258" s="4">
        <v>0</v>
      </c>
      <c r="P258" s="4">
        <v>12706</v>
      </c>
      <c r="R258" s="4">
        <v>0</v>
      </c>
      <c r="T258" s="4">
        <v>1350</v>
      </c>
      <c r="V258" s="4">
        <v>5973</v>
      </c>
      <c r="X258" s="4">
        <v>0</v>
      </c>
      <c r="Z258" s="4">
        <v>0</v>
      </c>
      <c r="AB258" s="4">
        <v>0</v>
      </c>
      <c r="AD258" s="4">
        <v>0</v>
      </c>
      <c r="AF258" s="4">
        <v>0</v>
      </c>
      <c r="AH258" s="4">
        <f>SUM(F258:AF258)</f>
        <v>287485</v>
      </c>
    </row>
    <row r="259" spans="1:66" s="4" customFormat="1">
      <c r="A259" s="4">
        <v>206</v>
      </c>
      <c r="B259" s="4" t="s">
        <v>251</v>
      </c>
      <c r="D259" s="4" t="s">
        <v>45</v>
      </c>
      <c r="F259" s="4">
        <v>0</v>
      </c>
      <c r="H259" s="4">
        <v>167186</v>
      </c>
      <c r="J259" s="4">
        <v>0</v>
      </c>
      <c r="L259" s="4">
        <v>0</v>
      </c>
      <c r="N259" s="4">
        <v>0</v>
      </c>
      <c r="P259" s="4">
        <v>1748</v>
      </c>
      <c r="R259" s="4">
        <v>0</v>
      </c>
      <c r="T259" s="4">
        <v>45436</v>
      </c>
      <c r="V259" s="4">
        <v>655</v>
      </c>
      <c r="X259" s="4">
        <v>2751</v>
      </c>
      <c r="Z259" s="4">
        <v>0</v>
      </c>
      <c r="AB259" s="4">
        <v>9576</v>
      </c>
      <c r="AD259" s="4">
        <v>0</v>
      </c>
      <c r="AF259" s="4">
        <v>0</v>
      </c>
      <c r="AH259" s="4">
        <f>SUM(F259:AF259)</f>
        <v>227352</v>
      </c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s="4" customFormat="1">
      <c r="A260" s="4">
        <v>57</v>
      </c>
      <c r="B260" s="4" t="s">
        <v>252</v>
      </c>
      <c r="D260" s="4" t="s">
        <v>19</v>
      </c>
      <c r="F260" s="4">
        <v>3163481</v>
      </c>
      <c r="H260" s="4">
        <v>1819747</v>
      </c>
      <c r="J260" s="4">
        <v>0</v>
      </c>
      <c r="L260" s="4">
        <v>0</v>
      </c>
      <c r="N260" s="4">
        <v>0</v>
      </c>
      <c r="P260" s="4">
        <v>132084</v>
      </c>
      <c r="R260" s="4">
        <v>0</v>
      </c>
      <c r="T260" s="4">
        <v>11471</v>
      </c>
      <c r="V260" s="4">
        <v>27617</v>
      </c>
      <c r="X260" s="4">
        <v>135042</v>
      </c>
      <c r="Z260" s="4">
        <v>0</v>
      </c>
      <c r="AB260" s="4">
        <v>82465</v>
      </c>
      <c r="AD260" s="4">
        <v>0</v>
      </c>
      <c r="AF260" s="4">
        <v>0</v>
      </c>
      <c r="AH260" s="4">
        <f>SUM(F260:AF260)</f>
        <v>5371907</v>
      </c>
    </row>
    <row r="261" spans="1:66" s="4" customFormat="1">
      <c r="A261" s="4">
        <v>118</v>
      </c>
      <c r="B261" s="4" t="s">
        <v>447</v>
      </c>
      <c r="D261" s="4" t="s">
        <v>170</v>
      </c>
      <c r="F261" s="4">
        <v>0</v>
      </c>
      <c r="H261" s="4">
        <v>0</v>
      </c>
      <c r="J261" s="4">
        <v>0</v>
      </c>
      <c r="L261" s="4">
        <f>32450+212193</f>
        <v>244643</v>
      </c>
      <c r="N261" s="4">
        <v>0</v>
      </c>
      <c r="P261" s="4">
        <v>10367</v>
      </c>
      <c r="R261" s="4">
        <v>0</v>
      </c>
      <c r="T261" s="4">
        <v>15029</v>
      </c>
      <c r="V261" s="4">
        <v>5593</v>
      </c>
      <c r="X261" s="4">
        <v>6389</v>
      </c>
      <c r="Z261" s="4">
        <v>0</v>
      </c>
      <c r="AB261" s="4">
        <v>0</v>
      </c>
      <c r="AD261" s="4">
        <v>0</v>
      </c>
      <c r="AF261" s="4">
        <v>0</v>
      </c>
      <c r="AH261" s="4">
        <f>SUM(F261:AF261)</f>
        <v>282021</v>
      </c>
    </row>
    <row r="262" spans="1:66" s="4" customFormat="1">
      <c r="A262" s="4">
        <v>79</v>
      </c>
      <c r="B262" s="4" t="s">
        <v>254</v>
      </c>
      <c r="D262" s="4" t="s">
        <v>92</v>
      </c>
      <c r="F262" s="4">
        <v>0</v>
      </c>
      <c r="H262" s="4">
        <v>4058380</v>
      </c>
      <c r="J262" s="4">
        <v>0</v>
      </c>
      <c r="L262" s="4">
        <v>0</v>
      </c>
      <c r="N262" s="4">
        <v>0</v>
      </c>
      <c r="P262" s="4">
        <v>183238</v>
      </c>
      <c r="R262" s="4">
        <v>0</v>
      </c>
      <c r="T262" s="4">
        <v>13081</v>
      </c>
      <c r="V262" s="4">
        <v>28616</v>
      </c>
      <c r="X262" s="4">
        <v>33455</v>
      </c>
      <c r="Z262" s="4">
        <v>0</v>
      </c>
      <c r="AB262" s="4">
        <v>0</v>
      </c>
      <c r="AD262" s="4">
        <v>0</v>
      </c>
      <c r="AF262" s="4">
        <v>0</v>
      </c>
      <c r="AH262" s="4">
        <f>SUM(F262:AF262)</f>
        <v>4316770</v>
      </c>
    </row>
    <row r="263" spans="1:66" s="4" customFormat="1">
      <c r="A263" s="4">
        <v>22</v>
      </c>
      <c r="B263" s="4" t="s">
        <v>316</v>
      </c>
      <c r="D263" s="4" t="s">
        <v>13</v>
      </c>
      <c r="F263" s="4">
        <v>0</v>
      </c>
      <c r="H263" s="4">
        <v>505365</v>
      </c>
      <c r="J263" s="4">
        <v>0</v>
      </c>
      <c r="L263" s="4">
        <v>0</v>
      </c>
      <c r="N263" s="4">
        <v>0</v>
      </c>
      <c r="P263" s="4">
        <v>11395</v>
      </c>
      <c r="R263" s="4">
        <v>0</v>
      </c>
      <c r="T263" s="4">
        <v>12889</v>
      </c>
      <c r="V263" s="4">
        <v>17403</v>
      </c>
      <c r="X263" s="4">
        <v>1867</v>
      </c>
      <c r="Z263" s="4">
        <v>0</v>
      </c>
      <c r="AB263" s="4">
        <v>0</v>
      </c>
      <c r="AD263" s="4">
        <v>0</v>
      </c>
      <c r="AF263" s="4">
        <v>0</v>
      </c>
      <c r="AH263" s="4">
        <f>SUM(F263:AF263)</f>
        <v>548919</v>
      </c>
    </row>
    <row r="264" spans="1:66" s="4" customFormat="1">
      <c r="A264" s="4">
        <v>18</v>
      </c>
      <c r="B264" s="4" t="s">
        <v>344</v>
      </c>
      <c r="D264" s="4" t="s">
        <v>44</v>
      </c>
      <c r="F264" s="4">
        <v>0</v>
      </c>
      <c r="H264" s="4">
        <v>523704</v>
      </c>
      <c r="J264" s="4">
        <v>0</v>
      </c>
      <c r="L264" s="4">
        <v>0</v>
      </c>
      <c r="N264" s="4">
        <v>0</v>
      </c>
      <c r="P264" s="4">
        <v>10616</v>
      </c>
      <c r="R264" s="4">
        <v>732</v>
      </c>
      <c r="T264" s="4">
        <v>6823</v>
      </c>
      <c r="V264" s="4">
        <v>3023</v>
      </c>
      <c r="X264" s="4">
        <v>2389</v>
      </c>
      <c r="Z264" s="4">
        <v>0</v>
      </c>
      <c r="AB264" s="4">
        <v>0</v>
      </c>
      <c r="AD264" s="4">
        <v>0</v>
      </c>
      <c r="AF264" s="4">
        <v>0</v>
      </c>
      <c r="AH264" s="4">
        <f>SUM(F264:AF264)</f>
        <v>547287</v>
      </c>
    </row>
    <row r="265" spans="1:66" s="4" customFormat="1">
      <c r="A265" s="4">
        <v>215</v>
      </c>
      <c r="B265" s="4" t="s">
        <v>594</v>
      </c>
      <c r="D265" s="4" t="s">
        <v>25</v>
      </c>
      <c r="F265" s="4">
        <v>4055760</v>
      </c>
      <c r="H265" s="4">
        <v>8176786</v>
      </c>
      <c r="J265" s="4">
        <v>0</v>
      </c>
      <c r="L265" s="4">
        <v>905151</v>
      </c>
      <c r="N265" s="4">
        <v>0</v>
      </c>
      <c r="P265" s="4">
        <v>245826</v>
      </c>
      <c r="R265" s="4">
        <v>82850</v>
      </c>
      <c r="T265" s="4">
        <v>39489</v>
      </c>
      <c r="V265" s="4">
        <v>75581</v>
      </c>
      <c r="X265" s="4">
        <v>57732</v>
      </c>
      <c r="Z265" s="4">
        <v>0</v>
      </c>
      <c r="AB265" s="4">
        <v>0</v>
      </c>
      <c r="AD265" s="4">
        <v>0</v>
      </c>
      <c r="AF265" s="4">
        <v>0</v>
      </c>
      <c r="AH265" s="4">
        <f>SUM(F265:AF265)</f>
        <v>13639175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</row>
    <row r="266" spans="1:66" s="4" customFormat="1">
      <c r="A266" s="4">
        <v>120</v>
      </c>
      <c r="B266" s="4" t="s">
        <v>256</v>
      </c>
      <c r="D266" s="4" t="s">
        <v>257</v>
      </c>
      <c r="F266" s="4">
        <v>0</v>
      </c>
      <c r="H266" s="4">
        <v>2909763</v>
      </c>
      <c r="J266" s="4">
        <v>0</v>
      </c>
      <c r="L266" s="4">
        <v>42413</v>
      </c>
      <c r="N266" s="4">
        <v>0</v>
      </c>
      <c r="P266" s="4">
        <v>70611</v>
      </c>
      <c r="R266" s="4">
        <v>0</v>
      </c>
      <c r="T266" s="4">
        <v>4526</v>
      </c>
      <c r="V266" s="4">
        <v>110560</v>
      </c>
      <c r="X266" s="4">
        <v>48342</v>
      </c>
      <c r="Z266" s="4">
        <v>0</v>
      </c>
      <c r="AB266" s="4">
        <v>300000</v>
      </c>
      <c r="AD266" s="4">
        <v>0</v>
      </c>
      <c r="AF266" s="4">
        <v>0</v>
      </c>
      <c r="AH266" s="4">
        <f>SUM(F266:AF266)</f>
        <v>3486215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</row>
    <row r="267" spans="1:66" s="4" customFormat="1">
      <c r="A267" s="4">
        <v>220</v>
      </c>
      <c r="B267" s="4" t="s">
        <v>258</v>
      </c>
      <c r="D267" s="4" t="s">
        <v>22</v>
      </c>
      <c r="F267" s="4">
        <v>798059</v>
      </c>
      <c r="H267" s="4">
        <v>0</v>
      </c>
      <c r="J267" s="4">
        <v>0</v>
      </c>
      <c r="L267" s="4">
        <v>1440659</v>
      </c>
      <c r="N267" s="4">
        <v>0</v>
      </c>
      <c r="P267" s="4">
        <v>74600</v>
      </c>
      <c r="R267" s="4">
        <v>0</v>
      </c>
      <c r="T267" s="4">
        <v>6763</v>
      </c>
      <c r="V267" s="4">
        <v>21700</v>
      </c>
      <c r="X267" s="4">
        <v>8979</v>
      </c>
      <c r="Z267" s="4">
        <v>0</v>
      </c>
      <c r="AB267" s="4">
        <v>0</v>
      </c>
      <c r="AD267" s="4">
        <v>0</v>
      </c>
      <c r="AF267" s="4">
        <v>0</v>
      </c>
      <c r="AH267" s="4">
        <f>SUM(F267:AF267)</f>
        <v>2350760</v>
      </c>
    </row>
    <row r="268" spans="1:66" s="4" customFormat="1">
      <c r="A268" s="4">
        <v>86</v>
      </c>
      <c r="B268" s="4" t="s">
        <v>259</v>
      </c>
      <c r="D268" s="4" t="s">
        <v>42</v>
      </c>
      <c r="F268" s="4">
        <v>0</v>
      </c>
      <c r="H268" s="4">
        <v>340287</v>
      </c>
      <c r="J268" s="4">
        <v>0</v>
      </c>
      <c r="L268" s="4">
        <v>0</v>
      </c>
      <c r="N268" s="4">
        <v>0</v>
      </c>
      <c r="P268" s="4">
        <v>13907</v>
      </c>
      <c r="R268" s="4">
        <v>0</v>
      </c>
      <c r="T268" s="4">
        <v>10954</v>
      </c>
      <c r="V268" s="4">
        <v>3730</v>
      </c>
      <c r="X268" s="4">
        <v>68305</v>
      </c>
      <c r="Z268" s="4">
        <v>0</v>
      </c>
      <c r="AB268" s="4">
        <v>129</v>
      </c>
      <c r="AD268" s="4">
        <v>0</v>
      </c>
      <c r="AF268" s="4">
        <v>0</v>
      </c>
      <c r="AH268" s="4">
        <f>SUM(F268:AF268)</f>
        <v>437312</v>
      </c>
    </row>
    <row r="269" spans="1:66" s="4" customFormat="1">
      <c r="A269" s="4">
        <v>119</v>
      </c>
      <c r="B269" s="4" t="s">
        <v>260</v>
      </c>
      <c r="D269" s="4" t="s">
        <v>170</v>
      </c>
      <c r="F269" s="4">
        <v>0</v>
      </c>
      <c r="H269" s="4">
        <v>435254</v>
      </c>
      <c r="J269" s="4">
        <v>0</v>
      </c>
      <c r="L269" s="4">
        <v>0</v>
      </c>
      <c r="N269" s="4">
        <v>0</v>
      </c>
      <c r="P269" s="4">
        <v>12552</v>
      </c>
      <c r="R269" s="4">
        <v>0</v>
      </c>
      <c r="T269" s="4">
        <v>47803</v>
      </c>
      <c r="V269" s="4">
        <v>67170</v>
      </c>
      <c r="X269" s="4">
        <v>6457</v>
      </c>
      <c r="Z269" s="4">
        <v>0</v>
      </c>
      <c r="AB269" s="4">
        <v>0</v>
      </c>
      <c r="AD269" s="4">
        <v>0</v>
      </c>
      <c r="AF269" s="4">
        <v>0</v>
      </c>
      <c r="AH269" s="4">
        <f>SUM(F269:AF269)</f>
        <v>569236</v>
      </c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</row>
    <row r="270" spans="1:66" s="4" customFormat="1">
      <c r="A270" s="4">
        <v>221</v>
      </c>
      <c r="B270" s="4" t="s">
        <v>261</v>
      </c>
      <c r="D270" s="4" t="s">
        <v>22</v>
      </c>
      <c r="F270" s="4">
        <v>1033244</v>
      </c>
      <c r="H270" s="4">
        <v>1606632</v>
      </c>
      <c r="J270" s="4">
        <v>0</v>
      </c>
      <c r="L270" s="4">
        <v>0</v>
      </c>
      <c r="N270" s="4">
        <v>0</v>
      </c>
      <c r="P270" s="4">
        <v>18105</v>
      </c>
      <c r="R270" s="4">
        <v>0</v>
      </c>
      <c r="T270" s="4">
        <v>0</v>
      </c>
      <c r="V270" s="4">
        <v>7311</v>
      </c>
      <c r="X270" s="4">
        <v>8499</v>
      </c>
      <c r="Z270" s="4">
        <v>0</v>
      </c>
      <c r="AB270" s="4">
        <v>0</v>
      </c>
      <c r="AD270" s="4">
        <v>0</v>
      </c>
      <c r="AF270" s="4">
        <v>0</v>
      </c>
      <c r="AH270" s="4">
        <f>SUM(F270:AF270)</f>
        <v>2673791</v>
      </c>
    </row>
    <row r="271" spans="1:66" s="4" customFormat="1">
      <c r="A271" s="39">
        <v>92.1</v>
      </c>
      <c r="B271" s="4" t="s">
        <v>581</v>
      </c>
      <c r="C271" s="3"/>
      <c r="D271" s="3" t="s">
        <v>582</v>
      </c>
      <c r="E271" s="3"/>
      <c r="F271" s="4">
        <v>0</v>
      </c>
      <c r="H271" s="4">
        <v>0</v>
      </c>
      <c r="J271" s="4">
        <v>0</v>
      </c>
      <c r="L271" s="4">
        <v>48116998</v>
      </c>
      <c r="N271" s="4">
        <v>0</v>
      </c>
      <c r="P271" s="4">
        <v>2003232</v>
      </c>
      <c r="R271" s="4">
        <v>0</v>
      </c>
      <c r="T271" s="4">
        <v>2948735</v>
      </c>
      <c r="V271" s="4">
        <f>965616+41875</f>
        <v>1007491</v>
      </c>
      <c r="X271" s="4">
        <v>811488</v>
      </c>
      <c r="Z271" s="4">
        <v>0</v>
      </c>
      <c r="AB271" s="4">
        <v>2503043</v>
      </c>
      <c r="AD271" s="4">
        <v>0</v>
      </c>
      <c r="AF271" s="4">
        <v>0</v>
      </c>
      <c r="AH271" s="4">
        <f>SUM(F271:AF271)</f>
        <v>57390987</v>
      </c>
    </row>
    <row r="272" spans="1:66" s="4" customFormat="1">
      <c r="A272" s="4">
        <v>71</v>
      </c>
      <c r="B272" s="4" t="s">
        <v>578</v>
      </c>
      <c r="D272" s="4" t="s">
        <v>67</v>
      </c>
      <c r="F272" s="4">
        <v>0</v>
      </c>
      <c r="H272" s="4">
        <v>349271</v>
      </c>
      <c r="J272" s="4">
        <v>0</v>
      </c>
      <c r="L272" s="4">
        <v>0</v>
      </c>
      <c r="N272" s="4">
        <v>0</v>
      </c>
      <c r="P272" s="4">
        <v>0</v>
      </c>
      <c r="R272" s="4">
        <v>0</v>
      </c>
      <c r="T272" s="4">
        <v>0</v>
      </c>
      <c r="V272" s="4">
        <v>0</v>
      </c>
      <c r="X272" s="4">
        <v>0</v>
      </c>
      <c r="Z272" s="4">
        <v>0</v>
      </c>
      <c r="AB272" s="4">
        <v>0</v>
      </c>
      <c r="AD272" s="4">
        <v>0</v>
      </c>
      <c r="AF272" s="4">
        <v>0</v>
      </c>
      <c r="AH272" s="4">
        <f>SUM(F272:AF272)</f>
        <v>349271</v>
      </c>
    </row>
    <row r="273" spans="1:66" s="7" customFormat="1">
      <c r="A273" s="4">
        <v>207</v>
      </c>
      <c r="B273" s="4" t="s">
        <v>262</v>
      </c>
      <c r="C273" s="4"/>
      <c r="D273" s="4" t="s">
        <v>45</v>
      </c>
      <c r="E273" s="4"/>
      <c r="F273" s="4">
        <v>0</v>
      </c>
      <c r="G273" s="4"/>
      <c r="H273" s="4">
        <v>1145567</v>
      </c>
      <c r="I273" s="4"/>
      <c r="J273" s="4">
        <v>0</v>
      </c>
      <c r="K273" s="4"/>
      <c r="L273" s="4">
        <v>0</v>
      </c>
      <c r="M273" s="4"/>
      <c r="N273" s="4">
        <v>0</v>
      </c>
      <c r="O273" s="4"/>
      <c r="P273" s="4">
        <v>44265</v>
      </c>
      <c r="Q273" s="4"/>
      <c r="R273" s="4">
        <v>0</v>
      </c>
      <c r="S273" s="4"/>
      <c r="T273" s="4">
        <v>68102</v>
      </c>
      <c r="U273" s="4"/>
      <c r="V273" s="4">
        <v>84376</v>
      </c>
      <c r="W273" s="4"/>
      <c r="X273" s="4">
        <v>5709</v>
      </c>
      <c r="Y273" s="4"/>
      <c r="Z273" s="4">
        <v>0</v>
      </c>
      <c r="AA273" s="4"/>
      <c r="AB273" s="4">
        <v>0</v>
      </c>
      <c r="AC273" s="4"/>
      <c r="AD273" s="4">
        <v>0</v>
      </c>
      <c r="AE273" s="4"/>
      <c r="AF273" s="4">
        <v>0</v>
      </c>
      <c r="AG273" s="4"/>
      <c r="AH273" s="4">
        <f>SUM(F273:AF273)</f>
        <v>1348019</v>
      </c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</row>
    <row r="274" spans="1:66" s="4" customFormat="1">
      <c r="A274" s="4">
        <v>166</v>
      </c>
      <c r="B274" s="4" t="s">
        <v>448</v>
      </c>
      <c r="D274" s="4" t="s">
        <v>53</v>
      </c>
      <c r="F274" s="4">
        <v>0</v>
      </c>
      <c r="H274" s="4">
        <v>0</v>
      </c>
      <c r="J274" s="4">
        <v>0</v>
      </c>
      <c r="L274" s="4">
        <v>570791</v>
      </c>
      <c r="N274" s="4">
        <v>0</v>
      </c>
      <c r="P274" s="4">
        <v>16156</v>
      </c>
      <c r="R274" s="4">
        <v>0</v>
      </c>
      <c r="T274" s="4">
        <v>29118</v>
      </c>
      <c r="V274" s="4">
        <v>17296</v>
      </c>
      <c r="X274" s="4">
        <v>10441</v>
      </c>
      <c r="Z274" s="4">
        <v>0</v>
      </c>
      <c r="AB274" s="4">
        <v>57050</v>
      </c>
      <c r="AD274" s="4">
        <v>0</v>
      </c>
      <c r="AF274" s="4">
        <v>0</v>
      </c>
      <c r="AH274" s="4">
        <f>SUM(F274:AF274)</f>
        <v>700852</v>
      </c>
    </row>
    <row r="275" spans="1:66" s="4" customFormat="1">
      <c r="A275" s="4">
        <v>147</v>
      </c>
      <c r="B275" s="4" t="s">
        <v>610</v>
      </c>
      <c r="D275" s="4" t="s">
        <v>264</v>
      </c>
      <c r="F275" s="4">
        <v>15679745</v>
      </c>
      <c r="H275" s="4">
        <v>0</v>
      </c>
      <c r="J275" s="4">
        <v>0</v>
      </c>
      <c r="L275" s="4">
        <v>21618366</v>
      </c>
      <c r="N275" s="4">
        <v>0</v>
      </c>
      <c r="P275" s="4">
        <v>823228</v>
      </c>
      <c r="R275" s="4">
        <v>86962</v>
      </c>
      <c r="T275" s="4">
        <v>59802</v>
      </c>
      <c r="V275" s="4">
        <v>262319</v>
      </c>
      <c r="X275" s="4">
        <v>148207</v>
      </c>
      <c r="Z275" s="4">
        <v>0</v>
      </c>
      <c r="AB275" s="4">
        <v>1800000</v>
      </c>
      <c r="AD275" s="4">
        <v>0</v>
      </c>
      <c r="AF275" s="4">
        <v>0</v>
      </c>
      <c r="AH275" s="4">
        <f>SUM(F275:AF275)</f>
        <v>40478629</v>
      </c>
    </row>
    <row r="276" spans="1:66" s="4" customFormat="1">
      <c r="A276" s="4">
        <v>167</v>
      </c>
      <c r="B276" s="4" t="s">
        <v>611</v>
      </c>
      <c r="D276" s="4" t="s">
        <v>53</v>
      </c>
      <c r="F276" s="4">
        <v>0</v>
      </c>
      <c r="H276" s="4">
        <v>1517006</v>
      </c>
      <c r="J276" s="4">
        <v>0</v>
      </c>
      <c r="L276" s="4">
        <v>0</v>
      </c>
      <c r="N276" s="4">
        <v>0</v>
      </c>
      <c r="P276" s="4">
        <v>48673</v>
      </c>
      <c r="R276" s="4">
        <v>0</v>
      </c>
      <c r="T276" s="4">
        <v>34276</v>
      </c>
      <c r="V276" s="4">
        <v>54151</v>
      </c>
      <c r="X276" s="4">
        <v>3960</v>
      </c>
      <c r="Z276" s="4">
        <v>0</v>
      </c>
      <c r="AB276" s="4">
        <v>7500</v>
      </c>
      <c r="AD276" s="4">
        <v>0</v>
      </c>
      <c r="AF276" s="4">
        <v>0</v>
      </c>
      <c r="AH276" s="4">
        <f>SUM(F276:AF276)</f>
        <v>1665566</v>
      </c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</row>
    <row r="277" spans="1:66" s="4" customFormat="1">
      <c r="A277" s="4">
        <v>236</v>
      </c>
      <c r="B277" s="4" t="s">
        <v>612</v>
      </c>
      <c r="D277" s="4" t="s">
        <v>26</v>
      </c>
      <c r="F277" s="4">
        <v>402264</v>
      </c>
      <c r="H277" s="4">
        <v>0</v>
      </c>
      <c r="J277" s="4">
        <v>0</v>
      </c>
      <c r="L277" s="4">
        <v>1592954</v>
      </c>
      <c r="N277" s="4">
        <v>0</v>
      </c>
      <c r="P277" s="4">
        <v>53845</v>
      </c>
      <c r="R277" s="4">
        <v>0</v>
      </c>
      <c r="T277" s="4">
        <v>28647</v>
      </c>
      <c r="V277" s="4">
        <v>20828</v>
      </c>
      <c r="X277" s="4">
        <v>2010</v>
      </c>
      <c r="Z277" s="4">
        <v>0</v>
      </c>
      <c r="AB277" s="4">
        <v>0</v>
      </c>
      <c r="AD277" s="4">
        <v>0</v>
      </c>
      <c r="AF277" s="4">
        <v>0</v>
      </c>
      <c r="AH277" s="4">
        <f>SUM(F277:AF277)</f>
        <v>2100548</v>
      </c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</row>
    <row r="278" spans="1:66" s="4" customFormat="1">
      <c r="A278" s="4">
        <v>222</v>
      </c>
      <c r="B278" s="4" t="s">
        <v>319</v>
      </c>
      <c r="D278" s="4" t="s">
        <v>22</v>
      </c>
      <c r="F278" s="4">
        <v>682013</v>
      </c>
      <c r="H278" s="4">
        <v>0</v>
      </c>
      <c r="J278" s="4">
        <v>0</v>
      </c>
      <c r="L278" s="4">
        <v>1580053</v>
      </c>
      <c r="N278" s="4">
        <v>0</v>
      </c>
      <c r="P278" s="4">
        <v>57466</v>
      </c>
      <c r="R278" s="4">
        <v>0</v>
      </c>
      <c r="T278" s="4">
        <v>18285</v>
      </c>
      <c r="V278" s="4">
        <v>16338</v>
      </c>
      <c r="X278" s="4">
        <v>3940</v>
      </c>
      <c r="Z278" s="4">
        <v>0</v>
      </c>
      <c r="AB278" s="4">
        <v>0</v>
      </c>
      <c r="AD278" s="4">
        <v>0</v>
      </c>
      <c r="AF278" s="4">
        <v>0</v>
      </c>
      <c r="AH278" s="4">
        <f>SUM(F278:AF278)</f>
        <v>2358095</v>
      </c>
    </row>
    <row r="279" spans="1:66" s="4" customFormat="1">
      <c r="A279" s="4">
        <v>24</v>
      </c>
      <c r="B279" s="4" t="s">
        <v>266</v>
      </c>
      <c r="D279" s="4" t="s">
        <v>47</v>
      </c>
      <c r="F279" s="4">
        <v>0</v>
      </c>
      <c r="H279" s="4">
        <v>523050</v>
      </c>
      <c r="J279" s="4">
        <v>0</v>
      </c>
      <c r="L279" s="4">
        <v>0</v>
      </c>
      <c r="N279" s="4">
        <v>0</v>
      </c>
      <c r="P279" s="4">
        <v>12452</v>
      </c>
      <c r="R279" s="4">
        <v>0</v>
      </c>
      <c r="T279" s="4">
        <v>3029</v>
      </c>
      <c r="V279" s="4">
        <v>559</v>
      </c>
      <c r="X279" s="4">
        <v>21</v>
      </c>
      <c r="Z279" s="4">
        <v>0</v>
      </c>
      <c r="AB279" s="4">
        <v>0</v>
      </c>
      <c r="AD279" s="4">
        <v>0</v>
      </c>
      <c r="AF279" s="4">
        <v>0</v>
      </c>
      <c r="AH279" s="4">
        <f>SUM(F279:AF279)</f>
        <v>539111</v>
      </c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</row>
    <row r="280" spans="1:66" s="4" customFormat="1">
      <c r="A280" s="4">
        <v>260</v>
      </c>
      <c r="B280" s="4" t="s">
        <v>268</v>
      </c>
      <c r="D280" s="4" t="s">
        <v>63</v>
      </c>
      <c r="F280" s="4">
        <v>0</v>
      </c>
      <c r="H280" s="4">
        <v>317454</v>
      </c>
      <c r="J280" s="4">
        <v>0</v>
      </c>
      <c r="L280" s="4">
        <v>0</v>
      </c>
      <c r="N280" s="4">
        <v>0</v>
      </c>
      <c r="P280" s="4">
        <v>14830</v>
      </c>
      <c r="R280" s="4">
        <v>0</v>
      </c>
      <c r="T280" s="4">
        <v>8659</v>
      </c>
      <c r="V280" s="4">
        <v>13877</v>
      </c>
      <c r="X280" s="4">
        <v>2501</v>
      </c>
      <c r="Z280" s="4">
        <v>0</v>
      </c>
      <c r="AB280" s="4">
        <v>0</v>
      </c>
      <c r="AD280" s="4">
        <v>0</v>
      </c>
      <c r="AF280" s="4">
        <v>0</v>
      </c>
      <c r="AH280" s="4">
        <f>SUM(F280:AF280)</f>
        <v>357321</v>
      </c>
    </row>
    <row r="281" spans="1:66" s="4" customFormat="1">
      <c r="A281" s="4">
        <v>230</v>
      </c>
      <c r="B281" s="4" t="s">
        <v>613</v>
      </c>
      <c r="D281" s="4" t="s">
        <v>56</v>
      </c>
      <c r="F281" s="4">
        <v>2131419</v>
      </c>
      <c r="H281" s="4">
        <v>4267276</v>
      </c>
      <c r="J281" s="4">
        <v>0</v>
      </c>
      <c r="L281" s="4">
        <v>261672</v>
      </c>
      <c r="N281" s="4">
        <v>0</v>
      </c>
      <c r="P281" s="4">
        <v>140163</v>
      </c>
      <c r="R281" s="4">
        <v>560</v>
      </c>
      <c r="T281" s="4">
        <v>45469</v>
      </c>
      <c r="V281" s="4">
        <v>63564</v>
      </c>
      <c r="X281" s="4">
        <v>26070</v>
      </c>
      <c r="Z281" s="4">
        <v>0</v>
      </c>
      <c r="AB281" s="4">
        <v>1186239</v>
      </c>
      <c r="AD281" s="4">
        <v>0</v>
      </c>
      <c r="AF281" s="4">
        <v>0</v>
      </c>
      <c r="AH281" s="4">
        <f>SUM(F281:AF281)</f>
        <v>8122432</v>
      </c>
    </row>
    <row r="282" spans="1:66" s="4" customFormat="1">
      <c r="A282" s="4">
        <v>245</v>
      </c>
      <c r="B282" s="4" t="s">
        <v>614</v>
      </c>
      <c r="D282" s="4" t="s">
        <v>27</v>
      </c>
      <c r="F282" s="4">
        <v>0</v>
      </c>
      <c r="H282" s="4">
        <v>0</v>
      </c>
      <c r="J282" s="4">
        <v>0</v>
      </c>
      <c r="L282" s="4">
        <v>2331355</v>
      </c>
      <c r="N282" s="4">
        <v>0</v>
      </c>
      <c r="P282" s="4">
        <v>0</v>
      </c>
      <c r="R282" s="4">
        <v>80653</v>
      </c>
      <c r="T282" s="4">
        <v>6220</v>
      </c>
      <c r="V282" s="4">
        <v>44196</v>
      </c>
      <c r="X282" s="4">
        <v>1998</v>
      </c>
      <c r="Z282" s="4">
        <v>0</v>
      </c>
      <c r="AB282" s="4">
        <v>300000</v>
      </c>
      <c r="AD282" s="4">
        <v>0</v>
      </c>
      <c r="AF282" s="4">
        <v>791</v>
      </c>
      <c r="AH282" s="4">
        <f>SUM(F282:AF282)</f>
        <v>2765213</v>
      </c>
    </row>
    <row r="283" spans="1:66" s="4" customFormat="1">
      <c r="A283" s="4">
        <v>171</v>
      </c>
      <c r="B283" s="4" t="s">
        <v>269</v>
      </c>
      <c r="D283" s="4" t="s">
        <v>55</v>
      </c>
      <c r="F283" s="4">
        <v>3415602</v>
      </c>
      <c r="H283" s="4">
        <v>2593314</v>
      </c>
      <c r="J283" s="4">
        <v>0</v>
      </c>
      <c r="L283" s="4">
        <v>494487</v>
      </c>
      <c r="N283" s="4">
        <v>0</v>
      </c>
      <c r="P283" s="4">
        <v>251381</v>
      </c>
      <c r="R283" s="4">
        <v>0</v>
      </c>
      <c r="T283" s="4">
        <v>922</v>
      </c>
      <c r="V283" s="4">
        <v>582783</v>
      </c>
      <c r="X283" s="4">
        <f>13199+10430</f>
        <v>23629</v>
      </c>
      <c r="Z283" s="4">
        <v>0</v>
      </c>
      <c r="AB283" s="4">
        <v>0</v>
      </c>
      <c r="AD283" s="4">
        <v>0</v>
      </c>
      <c r="AF283" s="4">
        <v>0</v>
      </c>
      <c r="AH283" s="4">
        <f>SUM(F283:AF283)</f>
        <v>7362118</v>
      </c>
    </row>
    <row r="284" spans="1:66" s="4" customFormat="1">
      <c r="A284" s="4">
        <v>87</v>
      </c>
      <c r="B284" s="4" t="s">
        <v>468</v>
      </c>
      <c r="D284" s="4" t="s">
        <v>42</v>
      </c>
      <c r="F284" s="4">
        <v>26178</v>
      </c>
      <c r="H284" s="4">
        <v>374560</v>
      </c>
      <c r="J284" s="4">
        <v>0</v>
      </c>
      <c r="L284" s="4">
        <v>4520</v>
      </c>
      <c r="N284" s="4">
        <v>0</v>
      </c>
      <c r="P284" s="4">
        <v>12882</v>
      </c>
      <c r="R284" s="4">
        <v>0</v>
      </c>
      <c r="T284" s="4">
        <v>10570</v>
      </c>
      <c r="V284" s="4">
        <v>18162</v>
      </c>
      <c r="X284" s="4">
        <v>495</v>
      </c>
      <c r="Z284" s="4">
        <v>0</v>
      </c>
      <c r="AB284" s="4">
        <v>0</v>
      </c>
      <c r="AD284" s="4">
        <v>0</v>
      </c>
      <c r="AF284" s="4">
        <v>0</v>
      </c>
      <c r="AH284" s="4">
        <f>SUM(F284:AF284)</f>
        <v>447367</v>
      </c>
    </row>
    <row r="285" spans="1:66" s="4" customFormat="1">
      <c r="A285" s="4">
        <v>247</v>
      </c>
      <c r="B285" s="4" t="s">
        <v>615</v>
      </c>
      <c r="D285" s="4" t="s">
        <v>225</v>
      </c>
      <c r="F285" s="4">
        <v>1798324</v>
      </c>
      <c r="H285" s="4">
        <v>0</v>
      </c>
      <c r="J285" s="4">
        <v>0</v>
      </c>
      <c r="L285" s="4">
        <v>3790672</v>
      </c>
      <c r="N285" s="4">
        <v>0</v>
      </c>
      <c r="P285" s="4">
        <v>184073</v>
      </c>
      <c r="R285" s="4">
        <v>0</v>
      </c>
      <c r="T285" s="4">
        <v>12882</v>
      </c>
      <c r="V285" s="4">
        <f>35826+112945</f>
        <v>148771</v>
      </c>
      <c r="X285" s="4">
        <v>134023</v>
      </c>
      <c r="Z285" s="4">
        <v>0</v>
      </c>
      <c r="AB285" s="4">
        <v>567312</v>
      </c>
      <c r="AD285" s="4">
        <v>0</v>
      </c>
      <c r="AF285" s="4">
        <v>0</v>
      </c>
      <c r="AH285" s="4">
        <f>SUM(F285:AF285)</f>
        <v>6636057</v>
      </c>
    </row>
    <row r="286" spans="1:66" s="4" customFormat="1">
      <c r="A286" s="4">
        <v>254</v>
      </c>
      <c r="B286" s="4" t="s">
        <v>271</v>
      </c>
      <c r="D286" s="4" t="s">
        <v>65</v>
      </c>
      <c r="F286" s="4">
        <v>0</v>
      </c>
      <c r="H286" s="4">
        <v>323468</v>
      </c>
      <c r="J286" s="4">
        <v>0</v>
      </c>
      <c r="L286" s="4">
        <v>0</v>
      </c>
      <c r="N286" s="4">
        <v>0</v>
      </c>
      <c r="P286" s="4">
        <v>6626</v>
      </c>
      <c r="R286" s="4">
        <v>0</v>
      </c>
      <c r="T286" s="4">
        <v>1225</v>
      </c>
      <c r="V286" s="4">
        <v>9269</v>
      </c>
      <c r="X286" s="4">
        <v>1957</v>
      </c>
      <c r="Z286" s="4">
        <v>0</v>
      </c>
      <c r="AB286" s="4">
        <v>0</v>
      </c>
      <c r="AD286" s="4">
        <v>0</v>
      </c>
      <c r="AF286" s="4">
        <v>0</v>
      </c>
      <c r="AH286" s="4">
        <f>SUM(F286:AF286)</f>
        <v>342545</v>
      </c>
    </row>
    <row r="287" spans="1:66" s="4" customFormat="1">
      <c r="A287" s="4">
        <v>255</v>
      </c>
      <c r="B287" s="4" t="s">
        <v>272</v>
      </c>
      <c r="D287" s="4" t="s">
        <v>65</v>
      </c>
      <c r="F287" s="4">
        <v>475133</v>
      </c>
      <c r="H287" s="4">
        <v>1103765</v>
      </c>
      <c r="J287" s="4">
        <v>0</v>
      </c>
      <c r="L287" s="4">
        <v>54321</v>
      </c>
      <c r="N287" s="4">
        <v>0</v>
      </c>
      <c r="P287" s="4">
        <v>61413</v>
      </c>
      <c r="R287" s="4">
        <v>0</v>
      </c>
      <c r="T287" s="4">
        <v>4652</v>
      </c>
      <c r="V287" s="4">
        <v>15692</v>
      </c>
      <c r="X287" s="4">
        <v>37569</v>
      </c>
      <c r="Z287" s="4">
        <v>2289</v>
      </c>
      <c r="AB287" s="4">
        <v>0</v>
      </c>
      <c r="AD287" s="4">
        <v>0</v>
      </c>
      <c r="AF287" s="4">
        <v>0</v>
      </c>
      <c r="AH287" s="4">
        <f>SUM(F287:AF287)</f>
        <v>1754834</v>
      </c>
    </row>
    <row r="288" spans="1:66" s="4" customFormat="1">
      <c r="A288" s="4">
        <v>44</v>
      </c>
      <c r="B288" s="4" t="s">
        <v>273</v>
      </c>
      <c r="D288" s="4" t="s">
        <v>51</v>
      </c>
      <c r="F288" s="4">
        <v>0</v>
      </c>
      <c r="H288" s="4">
        <v>421397</v>
      </c>
      <c r="J288" s="4">
        <v>0</v>
      </c>
      <c r="L288" s="4">
        <v>0</v>
      </c>
      <c r="N288" s="4">
        <v>0</v>
      </c>
      <c r="P288" s="4">
        <v>5344</v>
      </c>
      <c r="R288" s="4">
        <v>0</v>
      </c>
      <c r="T288" s="4">
        <v>6449</v>
      </c>
      <c r="V288" s="4">
        <v>51763</v>
      </c>
      <c r="X288" s="4">
        <v>126</v>
      </c>
      <c r="Z288" s="4">
        <v>0</v>
      </c>
      <c r="AB288" s="4">
        <v>0</v>
      </c>
      <c r="AD288" s="4">
        <v>0</v>
      </c>
      <c r="AF288" s="4">
        <v>0</v>
      </c>
      <c r="AH288" s="4">
        <f>SUM(F288:AF288)</f>
        <v>485079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s="4" customFormat="1">
      <c r="A289" s="4">
        <v>78</v>
      </c>
      <c r="B289" s="4" t="s">
        <v>577</v>
      </c>
      <c r="D289" s="4" t="s">
        <v>92</v>
      </c>
      <c r="F289" s="4">
        <v>1976420</v>
      </c>
      <c r="H289" s="4">
        <v>3157579</v>
      </c>
      <c r="J289" s="4">
        <v>0</v>
      </c>
      <c r="L289" s="4">
        <v>0</v>
      </c>
      <c r="N289" s="4">
        <v>0</v>
      </c>
      <c r="P289" s="4">
        <v>218253</v>
      </c>
      <c r="R289" s="4">
        <v>18000</v>
      </c>
      <c r="T289" s="4">
        <v>31532</v>
      </c>
      <c r="V289" s="4">
        <v>34096</v>
      </c>
      <c r="X289" s="4">
        <v>17213</v>
      </c>
      <c r="Z289" s="4">
        <v>0</v>
      </c>
      <c r="AB289" s="4">
        <v>82440</v>
      </c>
      <c r="AD289" s="4">
        <v>0</v>
      </c>
      <c r="AF289" s="4">
        <v>0</v>
      </c>
      <c r="AH289" s="4">
        <f>SUM(F289:AF289)</f>
        <v>5535533</v>
      </c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</row>
    <row r="290" spans="1:66" s="4" customFormat="1">
      <c r="A290" s="4">
        <v>256</v>
      </c>
      <c r="B290" s="4" t="s">
        <v>274</v>
      </c>
      <c r="D290" s="4" t="s">
        <v>65</v>
      </c>
      <c r="F290" s="4">
        <v>0</v>
      </c>
      <c r="H290" s="4">
        <v>388611</v>
      </c>
      <c r="J290" s="4">
        <v>0</v>
      </c>
      <c r="L290" s="4">
        <v>0</v>
      </c>
      <c r="N290" s="4">
        <v>0</v>
      </c>
      <c r="P290" s="4">
        <v>7850</v>
      </c>
      <c r="R290" s="4">
        <v>0</v>
      </c>
      <c r="T290" s="4">
        <v>3077</v>
      </c>
      <c r="V290" s="4">
        <v>23404</v>
      </c>
      <c r="X290" s="4">
        <v>1200</v>
      </c>
      <c r="Z290" s="4">
        <v>0</v>
      </c>
      <c r="AB290" s="4">
        <v>0</v>
      </c>
      <c r="AD290" s="4">
        <v>0</v>
      </c>
      <c r="AF290" s="4">
        <v>0</v>
      </c>
      <c r="AH290" s="4">
        <f>SUM(F290:AF290)</f>
        <v>424142</v>
      </c>
    </row>
    <row r="291" spans="1:66" s="4" customFormat="1">
      <c r="A291" s="4">
        <v>129</v>
      </c>
      <c r="B291" s="4" t="s">
        <v>469</v>
      </c>
      <c r="D291" s="4" t="s">
        <v>15</v>
      </c>
      <c r="F291" s="4">
        <v>839113</v>
      </c>
      <c r="H291" s="4">
        <v>868026</v>
      </c>
      <c r="J291" s="4">
        <v>0</v>
      </c>
      <c r="L291" s="4">
        <v>0</v>
      </c>
      <c r="N291" s="4">
        <v>0</v>
      </c>
      <c r="P291" s="4">
        <v>25713</v>
      </c>
      <c r="R291" s="4">
        <v>0</v>
      </c>
      <c r="T291" s="4">
        <v>1642</v>
      </c>
      <c r="V291" s="4">
        <v>48214</v>
      </c>
      <c r="X291" s="4">
        <v>17221</v>
      </c>
      <c r="Z291" s="4">
        <v>1653</v>
      </c>
      <c r="AB291" s="4">
        <v>400000</v>
      </c>
      <c r="AD291" s="4">
        <v>0</v>
      </c>
      <c r="AF291" s="4">
        <v>0</v>
      </c>
      <c r="AH291" s="4">
        <f>SUM(F291:AF291)</f>
        <v>2201582</v>
      </c>
    </row>
    <row r="292" spans="1:66" s="4" customFormat="1">
      <c r="A292" s="4">
        <v>114</v>
      </c>
      <c r="B292" s="4" t="s">
        <v>275</v>
      </c>
      <c r="D292" s="4" t="s">
        <v>89</v>
      </c>
      <c r="F292" s="4">
        <v>3600</v>
      </c>
      <c r="H292" s="4">
        <v>776488</v>
      </c>
      <c r="J292" s="4">
        <v>0</v>
      </c>
      <c r="L292" s="4">
        <v>0</v>
      </c>
      <c r="N292" s="4">
        <v>0</v>
      </c>
      <c r="P292" s="4">
        <v>28798</v>
      </c>
      <c r="R292" s="4">
        <v>0</v>
      </c>
      <c r="T292" s="4">
        <v>8389</v>
      </c>
      <c r="V292" s="4">
        <v>13734</v>
      </c>
      <c r="X292" s="4">
        <v>2980</v>
      </c>
      <c r="Z292" s="4">
        <v>0</v>
      </c>
      <c r="AB292" s="4">
        <v>0</v>
      </c>
      <c r="AD292" s="4">
        <v>0</v>
      </c>
      <c r="AF292" s="4">
        <v>0</v>
      </c>
      <c r="AH292" s="4">
        <f>SUM(F292:AF292)</f>
        <v>833989</v>
      </c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</row>
    <row r="293" spans="1:66" s="4" customFormat="1">
      <c r="A293" s="4">
        <v>249</v>
      </c>
      <c r="B293" s="4" t="s">
        <v>616</v>
      </c>
      <c r="D293" s="4" t="s">
        <v>204</v>
      </c>
      <c r="F293" s="4">
        <v>504757</v>
      </c>
      <c r="H293" s="4">
        <v>1176112</v>
      </c>
      <c r="J293" s="4">
        <v>0</v>
      </c>
      <c r="L293" s="4">
        <v>129794</v>
      </c>
      <c r="N293" s="4">
        <v>0</v>
      </c>
      <c r="P293" s="4">
        <v>36246</v>
      </c>
      <c r="R293" s="4">
        <v>0</v>
      </c>
      <c r="T293" s="4">
        <f>79565+113+39715</f>
        <v>119393</v>
      </c>
      <c r="V293" s="4">
        <v>15255</v>
      </c>
      <c r="X293" s="4">
        <v>21028</v>
      </c>
      <c r="Z293" s="4">
        <v>0</v>
      </c>
      <c r="AB293" s="4">
        <v>0</v>
      </c>
      <c r="AD293" s="4">
        <v>0</v>
      </c>
      <c r="AF293" s="4">
        <v>0</v>
      </c>
      <c r="AH293" s="4">
        <f>SUM(F293:AF293)</f>
        <v>2002585</v>
      </c>
    </row>
    <row r="294" spans="1:66" s="4" customFormat="1">
      <c r="A294" s="4">
        <v>130</v>
      </c>
      <c r="B294" s="4" t="s">
        <v>276</v>
      </c>
      <c r="D294" s="4" t="s">
        <v>15</v>
      </c>
      <c r="F294" s="4">
        <v>1711324</v>
      </c>
      <c r="H294" s="4">
        <v>2216778</v>
      </c>
      <c r="J294" s="4">
        <v>0</v>
      </c>
      <c r="L294" s="4">
        <v>444556</v>
      </c>
      <c r="N294" s="4">
        <v>0</v>
      </c>
      <c r="P294" s="4">
        <v>109396</v>
      </c>
      <c r="R294" s="4">
        <v>0</v>
      </c>
      <c r="T294" s="4">
        <v>2055</v>
      </c>
      <c r="V294" s="4">
        <v>76976</v>
      </c>
      <c r="X294" s="4">
        <v>28437</v>
      </c>
      <c r="Z294" s="4">
        <v>0</v>
      </c>
      <c r="AB294" s="4">
        <v>0</v>
      </c>
      <c r="AD294" s="4">
        <v>0</v>
      </c>
      <c r="AF294" s="4">
        <v>0</v>
      </c>
      <c r="AH294" s="4">
        <f>SUM(F294:AF294)</f>
        <v>4589522</v>
      </c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</row>
    <row r="295" spans="1:66" s="4" customFormat="1">
      <c r="A295" s="4">
        <v>37</v>
      </c>
      <c r="B295" s="4" t="s">
        <v>277</v>
      </c>
      <c r="D295" s="4" t="s">
        <v>69</v>
      </c>
      <c r="F295" s="4">
        <v>0</v>
      </c>
      <c r="H295" s="4">
        <v>694844</v>
      </c>
      <c r="J295" s="4">
        <v>0</v>
      </c>
      <c r="L295" s="4">
        <v>0</v>
      </c>
      <c r="N295" s="4">
        <v>0</v>
      </c>
      <c r="P295" s="4">
        <v>27771</v>
      </c>
      <c r="R295" s="4">
        <v>0</v>
      </c>
      <c r="T295" s="4">
        <v>4534</v>
      </c>
      <c r="V295" s="4">
        <v>30305</v>
      </c>
      <c r="X295" s="4">
        <v>1107</v>
      </c>
      <c r="Z295" s="4">
        <v>0</v>
      </c>
      <c r="AB295" s="4">
        <v>0</v>
      </c>
      <c r="AD295" s="4">
        <v>0</v>
      </c>
      <c r="AF295" s="4">
        <v>0</v>
      </c>
      <c r="AH295" s="4">
        <f>SUM(F295:AF295)</f>
        <v>758561</v>
      </c>
    </row>
    <row r="296" spans="1:66" s="4" customFormat="1">
      <c r="A296" s="4">
        <v>257</v>
      </c>
      <c r="B296" s="4" t="s">
        <v>617</v>
      </c>
      <c r="D296" s="4" t="s">
        <v>65</v>
      </c>
      <c r="F296" s="4">
        <v>0</v>
      </c>
      <c r="H296" s="4">
        <v>1637397</v>
      </c>
      <c r="J296" s="4">
        <v>0</v>
      </c>
      <c r="L296" s="4">
        <v>0</v>
      </c>
      <c r="N296" s="4">
        <v>0</v>
      </c>
      <c r="P296" s="4">
        <v>61553</v>
      </c>
      <c r="R296" s="4">
        <v>6339</v>
      </c>
      <c r="T296" s="4">
        <v>178654</v>
      </c>
      <c r="V296" s="4">
        <v>4700</v>
      </c>
      <c r="X296" s="4">
        <v>6706</v>
      </c>
      <c r="Z296" s="4">
        <v>0</v>
      </c>
      <c r="AB296" s="4">
        <v>0</v>
      </c>
      <c r="AD296" s="4">
        <v>0</v>
      </c>
      <c r="AF296" s="4">
        <v>0</v>
      </c>
      <c r="AH296" s="4">
        <f>SUM(F296:AF296)</f>
        <v>1895349</v>
      </c>
    </row>
    <row r="297" spans="1:66" s="4" customFormat="1">
      <c r="A297" s="4">
        <v>61</v>
      </c>
      <c r="B297" s="4" t="s">
        <v>278</v>
      </c>
      <c r="D297" s="4" t="s">
        <v>81</v>
      </c>
      <c r="F297" s="4">
        <v>0</v>
      </c>
      <c r="H297" s="4">
        <v>359431</v>
      </c>
      <c r="J297" s="4">
        <v>0</v>
      </c>
      <c r="L297" s="4">
        <v>5400</v>
      </c>
      <c r="N297" s="4">
        <v>0</v>
      </c>
      <c r="P297" s="4">
        <v>11294</v>
      </c>
      <c r="R297" s="4">
        <v>0</v>
      </c>
      <c r="T297" s="4">
        <v>1340</v>
      </c>
      <c r="V297" s="4">
        <v>3741</v>
      </c>
      <c r="X297" s="4">
        <v>814</v>
      </c>
      <c r="Z297" s="4">
        <v>0</v>
      </c>
      <c r="AB297" s="4">
        <v>0</v>
      </c>
      <c r="AD297" s="4">
        <v>0</v>
      </c>
      <c r="AF297" s="4">
        <v>0</v>
      </c>
      <c r="AH297" s="4">
        <f>SUM(F297:AF297)</f>
        <v>382020</v>
      </c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</row>
    <row r="298" spans="1:66" s="4" customFormat="1">
      <c r="A298" s="4">
        <v>65</v>
      </c>
      <c r="B298" s="4" t="s">
        <v>320</v>
      </c>
      <c r="D298" s="4" t="s">
        <v>70</v>
      </c>
      <c r="F298" s="4">
        <v>0</v>
      </c>
      <c r="H298" s="4">
        <v>153086</v>
      </c>
      <c r="J298" s="4">
        <v>0</v>
      </c>
      <c r="L298" s="4">
        <v>0</v>
      </c>
      <c r="N298" s="4">
        <v>0</v>
      </c>
      <c r="P298" s="4">
        <v>1970</v>
      </c>
      <c r="R298" s="4">
        <v>0</v>
      </c>
      <c r="T298" s="4">
        <v>1176</v>
      </c>
      <c r="V298" s="4">
        <v>2868</v>
      </c>
      <c r="X298" s="4">
        <v>150</v>
      </c>
      <c r="Z298" s="4">
        <v>218</v>
      </c>
      <c r="AB298" s="4">
        <v>0</v>
      </c>
      <c r="AD298" s="4">
        <v>0</v>
      </c>
      <c r="AF298" s="4">
        <v>0</v>
      </c>
      <c r="AH298" s="4">
        <f>SUM(F298:AF298)</f>
        <v>159468</v>
      </c>
    </row>
    <row r="299" spans="1:66" s="4" customFormat="1">
      <c r="A299" s="4">
        <v>81</v>
      </c>
      <c r="B299" s="4" t="s">
        <v>279</v>
      </c>
      <c r="D299" s="4" t="s">
        <v>92</v>
      </c>
      <c r="F299" s="4">
        <v>6278922</v>
      </c>
      <c r="H299" s="4">
        <v>0</v>
      </c>
      <c r="J299" s="4">
        <v>0</v>
      </c>
      <c r="L299" s="4">
        <v>3515269</v>
      </c>
      <c r="N299" s="4">
        <v>0</v>
      </c>
      <c r="P299" s="4">
        <v>297960</v>
      </c>
      <c r="R299" s="4">
        <v>803303</v>
      </c>
      <c r="T299" s="4">
        <v>3661</v>
      </c>
      <c r="V299" s="4">
        <v>276844</v>
      </c>
      <c r="X299" s="4">
        <v>18338</v>
      </c>
      <c r="Z299" s="4">
        <v>0</v>
      </c>
      <c r="AB299" s="4">
        <v>601800</v>
      </c>
      <c r="AD299" s="4">
        <v>0</v>
      </c>
      <c r="AF299" s="4">
        <v>0</v>
      </c>
      <c r="AH299" s="4">
        <f>SUM(F299:AF299)</f>
        <v>11796097</v>
      </c>
    </row>
    <row r="300" spans="1:66" s="4" customFormat="1">
      <c r="A300" s="4">
        <v>172</v>
      </c>
      <c r="B300" s="4" t="s">
        <v>470</v>
      </c>
      <c r="D300" s="4" t="s">
        <v>55</v>
      </c>
      <c r="F300" s="4">
        <v>253794</v>
      </c>
      <c r="H300" s="4">
        <v>1444634</v>
      </c>
      <c r="J300" s="4">
        <v>0</v>
      </c>
      <c r="L300" s="4">
        <v>40989</v>
      </c>
      <c r="N300" s="4">
        <v>0</v>
      </c>
      <c r="P300" s="4">
        <v>36270</v>
      </c>
      <c r="R300" s="4">
        <v>0</v>
      </c>
      <c r="T300" s="4">
        <v>4115</v>
      </c>
      <c r="V300" s="4">
        <v>34449</v>
      </c>
      <c r="X300" s="4">
        <v>10556</v>
      </c>
      <c r="Z300" s="4">
        <v>0</v>
      </c>
      <c r="AB300" s="4">
        <v>0</v>
      </c>
      <c r="AD300" s="4">
        <v>0</v>
      </c>
      <c r="AF300" s="4">
        <v>0</v>
      </c>
      <c r="AH300" s="4">
        <f>SUM(F300:AF300)</f>
        <v>1824807</v>
      </c>
    </row>
    <row r="301" spans="1:66" s="4" customFormat="1"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</row>
    <row r="302" spans="1:66" s="4" customFormat="1"/>
    <row r="303" spans="1:66" s="4" customFormat="1"/>
    <row r="304" spans="1:66" s="4" customFormat="1">
      <c r="AH304" s="8" t="s">
        <v>7</v>
      </c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</row>
    <row r="305" spans="18:66" s="4" customFormat="1">
      <c r="AH305" s="8" t="s">
        <v>7</v>
      </c>
    </row>
    <row r="306" spans="18:66" s="4" customFormat="1">
      <c r="AH306" s="8" t="s">
        <v>7</v>
      </c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</row>
    <row r="307" spans="18:66" s="4" customFormat="1">
      <c r="AH307" s="8"/>
    </row>
    <row r="308" spans="18:66" s="4" customFormat="1">
      <c r="R308" s="8"/>
    </row>
    <row r="309" spans="18:66"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</row>
    <row r="310" spans="18:66"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</row>
    <row r="311" spans="18:66"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</row>
    <row r="312" spans="18:66"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</row>
    <row r="313" spans="18:66"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</row>
    <row r="314" spans="18:66"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</row>
    <row r="315" spans="18:66"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</row>
    <row r="316" spans="18:66"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</row>
    <row r="317" spans="18:66"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</row>
    <row r="318" spans="18:66"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</row>
    <row r="319" spans="18:66"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</row>
    <row r="320" spans="18:66"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</row>
    <row r="321" spans="35:66"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</row>
    <row r="322" spans="35:66"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</row>
    <row r="323" spans="35:66"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</row>
    <row r="324" spans="35:66"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</row>
    <row r="325" spans="35:66"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</row>
    <row r="326" spans="35:66"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</row>
    <row r="327" spans="35:66"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</row>
    <row r="328" spans="35:66"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</row>
    <row r="329" spans="35:66"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</row>
    <row r="330" spans="35:66"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</row>
    <row r="331" spans="35:66"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</row>
    <row r="332" spans="35:66"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</row>
    <row r="333" spans="35:66"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</row>
    <row r="334" spans="35:66"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</row>
    <row r="335" spans="35:66"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</row>
    <row r="336" spans="35:66"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</row>
    <row r="337" spans="35:66"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</row>
    <row r="338" spans="35:66"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</row>
    <row r="339" spans="35:66"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</row>
    <row r="340" spans="35:66"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</row>
    <row r="341" spans="35:66"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</row>
    <row r="342" spans="35:66"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</row>
    <row r="343" spans="35:66"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</row>
    <row r="344" spans="35:66"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</row>
    <row r="345" spans="35:66"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</row>
    <row r="346" spans="35:66"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</row>
    <row r="347" spans="35:66"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</row>
    <row r="348" spans="35:66"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</row>
    <row r="349" spans="35:66"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</row>
    <row r="350" spans="35:66"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</row>
    <row r="351" spans="35:66"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</row>
    <row r="352" spans="35:66"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</row>
    <row r="353" spans="35:66"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</row>
    <row r="354" spans="35:66"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</row>
    <row r="355" spans="35:66"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</row>
    <row r="356" spans="35:66"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</row>
    <row r="357" spans="35:66"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</row>
    <row r="358" spans="35:66"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</row>
    <row r="359" spans="35:66"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</row>
    <row r="360" spans="35:66"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</row>
    <row r="361" spans="35:66"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</row>
    <row r="362" spans="35:66"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</row>
    <row r="363" spans="35:66"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</row>
    <row r="364" spans="35:66"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</row>
    <row r="365" spans="35:66"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</row>
    <row r="366" spans="35:66"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</row>
    <row r="367" spans="35:66"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</row>
    <row r="368" spans="35:66"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</row>
    <row r="369" spans="35:66"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</row>
    <row r="370" spans="35:66"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</row>
    <row r="371" spans="35:66"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</row>
    <row r="372" spans="35:66"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</row>
    <row r="373" spans="35:66"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</row>
    <row r="374" spans="35:66"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</row>
    <row r="375" spans="35:66"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</row>
    <row r="376" spans="35:66"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</row>
    <row r="377" spans="35:66"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</row>
    <row r="378" spans="35:66"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</row>
    <row r="379" spans="35:66"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</row>
    <row r="380" spans="35:66"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</row>
    <row r="381" spans="35:66"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</row>
    <row r="382" spans="35:66"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</row>
    <row r="383" spans="35:66"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</row>
    <row r="384" spans="35:66"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</row>
  </sheetData>
  <sortState ref="A20:AH271">
    <sortCondition ref="B20:B271"/>
  </sortState>
  <phoneticPr fontId="2" type="noConversion"/>
  <printOptions horizontalCentered="1"/>
  <pageMargins left="0.75" right="0.75" top="0.5" bottom="0.5" header="0" footer="0.3"/>
  <pageSetup scale="80" firstPageNumber="24" fitToWidth="2" fitToHeight="3" pageOrder="overThenDown" orientation="portrait" useFirstPageNumber="1" horizontalDpi="1200" verticalDpi="1200" r:id="rId1"/>
  <headerFooter scaleWithDoc="0" alignWithMargins="0">
    <oddFooter>&amp;C&amp;"Times New Roman,Regular"&amp;11&amp;P</oddFooter>
  </headerFooter>
  <rowBreaks count="3" manualBreakCount="3">
    <brk id="86" min="1" max="33" man="1"/>
    <brk id="161" min="1" max="33" man="1"/>
    <brk id="236" min="1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9"/>
  <sheetViews>
    <sheetView view="pageBreakPreview" topLeftCell="B1" zoomScale="70" zoomScaleNormal="100" zoomScaleSheetLayoutView="70" workbookViewId="0">
      <selection activeCell="J41" sqref="J41"/>
    </sheetView>
  </sheetViews>
  <sheetFormatPr defaultColWidth="9.140625" defaultRowHeight="12"/>
  <cols>
    <col min="1" max="1" width="0" style="3" hidden="1" customWidth="1"/>
    <col min="2" max="2" width="38.85546875" style="3" customWidth="1"/>
    <col min="3" max="3" width="1.28515625" style="3" customWidth="1"/>
    <col min="4" max="4" width="9.85546875" style="3" customWidth="1"/>
    <col min="5" max="5" width="1.28515625" style="3" customWidth="1"/>
    <col min="6" max="6" width="10.140625" style="3" customWidth="1"/>
    <col min="7" max="7" width="1.28515625" style="3" customWidth="1"/>
    <col min="8" max="8" width="10.1406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0.85546875" style="3" customWidth="1"/>
    <col min="15" max="15" width="1.28515625" style="3" hidden="1" customWidth="1"/>
    <col min="16" max="16" width="10.140625" style="3" customWidth="1"/>
    <col min="17" max="17" width="1.28515625" style="3" customWidth="1"/>
    <col min="18" max="18" width="10.140625" style="3" customWidth="1"/>
    <col min="19" max="19" width="1.28515625" style="3" customWidth="1"/>
    <col min="20" max="20" width="10.140625" style="3" customWidth="1"/>
    <col min="21" max="21" width="1.28515625" style="3" customWidth="1"/>
    <col min="22" max="22" width="11.28515625" style="3" customWidth="1"/>
    <col min="23" max="23" width="1.28515625" style="3" customWidth="1"/>
    <col min="24" max="24" width="10" style="3" customWidth="1"/>
    <col min="25" max="25" width="1.28515625" style="3" customWidth="1"/>
    <col min="26" max="26" width="10.7109375" style="3" customWidth="1"/>
    <col min="27" max="27" width="1.28515625" style="3" customWidth="1"/>
    <col min="28" max="28" width="10.7109375" style="3" customWidth="1"/>
    <col min="29" max="29" width="1.28515625" style="3" customWidth="1"/>
    <col min="30" max="30" width="10" style="3" customWidth="1"/>
    <col min="31" max="31" width="1.28515625" style="3" customWidth="1"/>
    <col min="32" max="32" width="10.28515625" style="3" customWidth="1"/>
    <col min="33" max="16384" width="9.140625" style="3"/>
  </cols>
  <sheetData>
    <row r="1" spans="1:32">
      <c r="B1" s="3" t="s">
        <v>526</v>
      </c>
    </row>
    <row r="2" spans="1:32">
      <c r="B2" s="3" t="s">
        <v>527</v>
      </c>
    </row>
    <row r="4" spans="1:32" s="36" customFormat="1">
      <c r="B4" s="41"/>
      <c r="L4" s="36" t="s">
        <v>8</v>
      </c>
    </row>
    <row r="5" spans="1:32" s="36" customFormat="1">
      <c r="J5" s="36" t="s">
        <v>323</v>
      </c>
      <c r="L5" s="36" t="s">
        <v>557</v>
      </c>
      <c r="N5" s="36" t="s">
        <v>556</v>
      </c>
      <c r="X5" s="36" t="s">
        <v>330</v>
      </c>
      <c r="AD5" s="36" t="s">
        <v>0</v>
      </c>
    </row>
    <row r="6" spans="1:32" s="36" customFormat="1">
      <c r="H6" s="36" t="s">
        <v>321</v>
      </c>
      <c r="J6" s="36" t="s">
        <v>324</v>
      </c>
      <c r="L6" s="36" t="s">
        <v>325</v>
      </c>
      <c r="N6" s="36" t="s">
        <v>554</v>
      </c>
      <c r="T6" s="36" t="s">
        <v>30</v>
      </c>
      <c r="V6" s="36" t="s">
        <v>328</v>
      </c>
      <c r="X6" s="36" t="s">
        <v>331</v>
      </c>
      <c r="AD6" s="36" t="s">
        <v>296</v>
      </c>
    </row>
    <row r="7" spans="1:32" s="36" customFormat="1" ht="12" customHeight="1">
      <c r="A7" s="36" t="s">
        <v>580</v>
      </c>
      <c r="B7" s="37" t="s">
        <v>8</v>
      </c>
      <c r="C7" s="48"/>
      <c r="D7" s="37" t="s">
        <v>6</v>
      </c>
      <c r="E7" s="48"/>
      <c r="F7" s="37" t="s">
        <v>2</v>
      </c>
      <c r="G7" s="48"/>
      <c r="H7" s="37" t="s">
        <v>563</v>
      </c>
      <c r="I7" s="48"/>
      <c r="J7" s="37" t="s">
        <v>29</v>
      </c>
      <c r="K7" s="48"/>
      <c r="L7" s="37" t="s">
        <v>326</v>
      </c>
      <c r="M7" s="48"/>
      <c r="N7" s="37" t="s">
        <v>555</v>
      </c>
      <c r="O7" s="48"/>
      <c r="P7" s="37" t="s">
        <v>4</v>
      </c>
      <c r="Q7" s="48"/>
      <c r="R7" s="37" t="s">
        <v>0</v>
      </c>
      <c r="S7" s="48"/>
      <c r="T7" s="37" t="s">
        <v>327</v>
      </c>
      <c r="U7" s="48"/>
      <c r="V7" s="37" t="s">
        <v>329</v>
      </c>
      <c r="W7" s="48"/>
      <c r="X7" s="37" t="s">
        <v>332</v>
      </c>
      <c r="Y7" s="48"/>
      <c r="Z7" s="37" t="s">
        <v>506</v>
      </c>
      <c r="AA7" s="48"/>
      <c r="AB7" s="37" t="s">
        <v>507</v>
      </c>
      <c r="AC7" s="48"/>
      <c r="AD7" s="37" t="s">
        <v>333</v>
      </c>
      <c r="AE7" s="48"/>
      <c r="AF7" s="49" t="s">
        <v>28</v>
      </c>
    </row>
    <row r="8" spans="1:32" s="4" customFormat="1" hidden="1">
      <c r="A8" s="4">
        <v>2</v>
      </c>
      <c r="B8" s="4" t="s">
        <v>435</v>
      </c>
      <c r="D8" s="4" t="s">
        <v>97</v>
      </c>
      <c r="AF8" s="4">
        <f>SUM(F8:AD8)</f>
        <v>0</v>
      </c>
    </row>
    <row r="9" spans="1:32" hidden="1">
      <c r="A9" s="4">
        <v>75</v>
      </c>
      <c r="B9" s="4" t="s">
        <v>436</v>
      </c>
      <c r="C9" s="4"/>
      <c r="D9" s="4" t="s">
        <v>92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>SUM(F9:AD9)</f>
        <v>0</v>
      </c>
    </row>
    <row r="10" spans="1:32" s="7" customFormat="1" hidden="1">
      <c r="A10" s="4">
        <v>80</v>
      </c>
      <c r="B10" s="4" t="s">
        <v>267</v>
      </c>
      <c r="C10" s="4"/>
      <c r="D10" s="4" t="s">
        <v>92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>SUM(F10:AD10)</f>
        <v>0</v>
      </c>
    </row>
    <row r="11" spans="1:32" s="4" customFormat="1" hidden="1">
      <c r="A11" s="4">
        <v>117</v>
      </c>
      <c r="B11" s="4" t="s">
        <v>342</v>
      </c>
      <c r="D11" s="4" t="s">
        <v>170</v>
      </c>
      <c r="AF11" s="4">
        <f>SUM(F11:AD11)</f>
        <v>0</v>
      </c>
    </row>
    <row r="12" spans="1:32" s="4" customFormat="1" hidden="1">
      <c r="A12" s="4">
        <v>135</v>
      </c>
      <c r="B12" s="4" t="s">
        <v>442</v>
      </c>
      <c r="D12" s="4" t="s">
        <v>41</v>
      </c>
      <c r="AF12" s="4">
        <f>SUM(F12:AD12)</f>
        <v>0</v>
      </c>
    </row>
    <row r="13" spans="1:32" s="4" customFormat="1" hidden="1">
      <c r="A13" s="4">
        <v>152</v>
      </c>
      <c r="B13" s="4" t="s">
        <v>214</v>
      </c>
      <c r="D13" s="4" t="s">
        <v>215</v>
      </c>
      <c r="AF13" s="4">
        <f>SUM(F13:AD13)</f>
        <v>0</v>
      </c>
    </row>
    <row r="14" spans="1:32" s="4" customFormat="1" hidden="1">
      <c r="A14" s="4">
        <v>180</v>
      </c>
      <c r="B14" s="4" t="s">
        <v>253</v>
      </c>
      <c r="D14" s="4" t="s">
        <v>106</v>
      </c>
      <c r="AF14" s="4">
        <f>SUM(F14:AD14)</f>
        <v>0</v>
      </c>
    </row>
    <row r="15" spans="1:32" s="7" customFormat="1" hidden="1">
      <c r="A15" s="4">
        <v>185</v>
      </c>
      <c r="B15" s="4" t="s">
        <v>230</v>
      </c>
      <c r="C15" s="4"/>
      <c r="D15" s="4" t="s">
        <v>229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>SUM(F15:AD15)</f>
        <v>0</v>
      </c>
    </row>
    <row r="16" spans="1:32" s="4" customFormat="1" hidden="1">
      <c r="A16" s="4">
        <v>189</v>
      </c>
      <c r="B16" s="4" t="s">
        <v>450</v>
      </c>
      <c r="D16" s="4" t="s">
        <v>236</v>
      </c>
      <c r="AF16" s="4">
        <f>SUM(F16:AD16)</f>
        <v>0</v>
      </c>
    </row>
    <row r="17" spans="1:55" s="4" customFormat="1" hidden="1">
      <c r="A17" s="4">
        <v>233</v>
      </c>
      <c r="B17" s="4" t="s">
        <v>35</v>
      </c>
      <c r="D17" s="4" t="s">
        <v>26</v>
      </c>
      <c r="AF17" s="4">
        <f>SUM(F17:AD17)</f>
        <v>0</v>
      </c>
    </row>
    <row r="18" spans="1:55" s="4" customFormat="1" hidden="1">
      <c r="A18" s="4">
        <v>234</v>
      </c>
      <c r="B18" s="4" t="s">
        <v>201</v>
      </c>
      <c r="D18" s="4" t="s">
        <v>26</v>
      </c>
      <c r="AF18" s="4">
        <f>SUM(F18:AD18)</f>
        <v>0</v>
      </c>
    </row>
    <row r="19" spans="1:55" s="4" customFormat="1">
      <c r="A19" s="4">
        <v>95</v>
      </c>
      <c r="B19" s="3" t="s">
        <v>73</v>
      </c>
      <c r="C19" s="3"/>
      <c r="D19" s="3" t="s">
        <v>61</v>
      </c>
      <c r="E19" s="3"/>
      <c r="F19" s="7">
        <v>157397</v>
      </c>
      <c r="G19" s="7"/>
      <c r="H19" s="7">
        <v>49548</v>
      </c>
      <c r="I19" s="7"/>
      <c r="J19" s="7">
        <v>48037</v>
      </c>
      <c r="K19" s="7"/>
      <c r="L19" s="7">
        <v>36174</v>
      </c>
      <c r="M19" s="7"/>
      <c r="N19" s="7">
        <v>0</v>
      </c>
      <c r="O19" s="7"/>
      <c r="P19" s="7">
        <v>7186</v>
      </c>
      <c r="Q19" s="7"/>
      <c r="R19" s="7">
        <v>4388</v>
      </c>
      <c r="S19" s="7"/>
      <c r="T19" s="7">
        <v>1486</v>
      </c>
      <c r="U19" s="7"/>
      <c r="V19" s="7">
        <v>0</v>
      </c>
      <c r="W19" s="7"/>
      <c r="X19" s="7">
        <v>0</v>
      </c>
      <c r="Y19" s="7"/>
      <c r="Z19" s="7">
        <v>0</v>
      </c>
      <c r="AA19" s="7"/>
      <c r="AB19" s="7">
        <v>0</v>
      </c>
      <c r="AC19" s="7"/>
      <c r="AD19" s="7">
        <v>0</v>
      </c>
      <c r="AE19" s="7"/>
      <c r="AF19" s="7">
        <f>SUM(F19:AD19)</f>
        <v>304216</v>
      </c>
    </row>
    <row r="20" spans="1:55" s="14" customFormat="1">
      <c r="A20" s="4">
        <v>1</v>
      </c>
      <c r="B20" s="3" t="s">
        <v>74</v>
      </c>
      <c r="C20" s="3"/>
      <c r="D20" s="3" t="s">
        <v>40</v>
      </c>
      <c r="E20" s="3"/>
      <c r="F20" s="4">
        <v>532811</v>
      </c>
      <c r="G20" s="4"/>
      <c r="H20" s="4">
        <v>125954</v>
      </c>
      <c r="I20" s="4"/>
      <c r="J20" s="4">
        <v>124375</v>
      </c>
      <c r="K20" s="4"/>
      <c r="L20" s="4">
        <v>146623</v>
      </c>
      <c r="M20" s="4"/>
      <c r="N20" s="4">
        <v>0</v>
      </c>
      <c r="O20" s="4"/>
      <c r="P20" s="4">
        <v>16264</v>
      </c>
      <c r="Q20" s="4"/>
      <c r="R20" s="4">
        <v>4782</v>
      </c>
      <c r="S20" s="4"/>
      <c r="T20" s="4">
        <v>334034</v>
      </c>
      <c r="U20" s="4"/>
      <c r="V20" s="4">
        <v>0</v>
      </c>
      <c r="W20" s="4"/>
      <c r="X20" s="4">
        <v>0</v>
      </c>
      <c r="Y20" s="4"/>
      <c r="Z20" s="4">
        <v>0</v>
      </c>
      <c r="AA20" s="4"/>
      <c r="AB20" s="4">
        <v>0</v>
      </c>
      <c r="AC20" s="4"/>
      <c r="AD20" s="4">
        <v>0</v>
      </c>
      <c r="AE20" s="4"/>
      <c r="AF20" s="4">
        <f>SUM(F20:AD20)</f>
        <v>1284843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4" customFormat="1">
      <c r="A21" s="4">
        <v>216</v>
      </c>
      <c r="B21" s="45" t="s">
        <v>434</v>
      </c>
      <c r="C21" s="45"/>
      <c r="D21" s="45" t="s">
        <v>22</v>
      </c>
      <c r="E21" s="45"/>
      <c r="F21" s="4">
        <f>35969469-3540000-2517965</f>
        <v>29911504</v>
      </c>
      <c r="G21" s="15"/>
      <c r="H21" s="4">
        <v>0</v>
      </c>
      <c r="I21" s="15"/>
      <c r="J21" s="4">
        <v>0</v>
      </c>
      <c r="K21" s="15"/>
      <c r="L21" s="4">
        <v>0</v>
      </c>
      <c r="M21" s="15"/>
      <c r="N21" s="4">
        <v>0</v>
      </c>
      <c r="O21" s="15"/>
      <c r="P21" s="4">
        <v>0</v>
      </c>
      <c r="Q21" s="15"/>
      <c r="R21" s="4">
        <v>0</v>
      </c>
      <c r="S21" s="15"/>
      <c r="T21" s="4">
        <v>0</v>
      </c>
      <c r="U21" s="15"/>
      <c r="V21" s="4">
        <v>3540000</v>
      </c>
      <c r="W21" s="15"/>
      <c r="X21" s="4">
        <v>2517965</v>
      </c>
      <c r="Y21" s="15"/>
      <c r="Z21" s="4">
        <v>700000</v>
      </c>
      <c r="AA21" s="15"/>
      <c r="AB21" s="4">
        <v>0</v>
      </c>
      <c r="AC21" s="15"/>
      <c r="AD21" s="4">
        <v>0</v>
      </c>
      <c r="AE21" s="15"/>
      <c r="AF21" s="4">
        <f>SUM(F21:AD21)</f>
        <v>36669469</v>
      </c>
    </row>
    <row r="22" spans="1:55" s="4" customFormat="1">
      <c r="A22" s="4">
        <v>131</v>
      </c>
      <c r="B22" s="4" t="s">
        <v>511</v>
      </c>
      <c r="D22" s="4" t="s">
        <v>41</v>
      </c>
      <c r="F22" s="4">
        <v>173748</v>
      </c>
      <c r="H22" s="4">
        <v>26982</v>
      </c>
      <c r="J22" s="4">
        <v>50403</v>
      </c>
      <c r="L22" s="4">
        <v>70045</v>
      </c>
      <c r="N22" s="4">
        <v>0</v>
      </c>
      <c r="P22" s="4">
        <v>7975</v>
      </c>
      <c r="R22" s="4">
        <v>3380</v>
      </c>
      <c r="T22" s="4">
        <v>24279</v>
      </c>
      <c r="V22" s="4">
        <v>0</v>
      </c>
      <c r="X22" s="4">
        <v>0</v>
      </c>
      <c r="Z22" s="4">
        <v>0</v>
      </c>
      <c r="AB22" s="4">
        <v>0</v>
      </c>
      <c r="AD22" s="4">
        <v>0</v>
      </c>
      <c r="AF22" s="4">
        <f>SUM(F22:AD22)</f>
        <v>356812</v>
      </c>
    </row>
    <row r="23" spans="1:55" s="4" customFormat="1">
      <c r="A23" s="4">
        <v>96</v>
      </c>
      <c r="B23" s="4" t="s">
        <v>75</v>
      </c>
      <c r="D23" s="4" t="s">
        <v>61</v>
      </c>
      <c r="F23" s="4">
        <v>32442</v>
      </c>
      <c r="H23" s="4">
        <v>5162</v>
      </c>
      <c r="J23" s="4">
        <v>16629</v>
      </c>
      <c r="L23" s="4">
        <v>13396</v>
      </c>
      <c r="N23" s="4">
        <v>0</v>
      </c>
      <c r="P23" s="4">
        <v>2282</v>
      </c>
      <c r="R23" s="4">
        <v>1688</v>
      </c>
      <c r="T23" s="4">
        <v>5645</v>
      </c>
      <c r="V23" s="4">
        <v>0</v>
      </c>
      <c r="X23" s="4">
        <v>0</v>
      </c>
      <c r="Z23" s="4">
        <v>30662</v>
      </c>
      <c r="AB23" s="4">
        <v>0</v>
      </c>
      <c r="AD23" s="4">
        <v>200</v>
      </c>
      <c r="AF23" s="4">
        <f>SUM(F23:AD23)</f>
        <v>108106</v>
      </c>
    </row>
    <row r="24" spans="1:55" s="4" customFormat="1">
      <c r="A24" s="4">
        <v>140</v>
      </c>
      <c r="B24" s="4" t="s">
        <v>451</v>
      </c>
      <c r="D24" s="4" t="s">
        <v>57</v>
      </c>
      <c r="F24" s="4">
        <v>536233</v>
      </c>
      <c r="H24" s="4">
        <v>103549</v>
      </c>
      <c r="J24" s="4">
        <v>213000</v>
      </c>
      <c r="L24" s="4">
        <v>198304</v>
      </c>
      <c r="N24" s="4">
        <v>0</v>
      </c>
      <c r="P24" s="4">
        <v>36849</v>
      </c>
      <c r="R24" s="4">
        <v>8248</v>
      </c>
      <c r="T24" s="4">
        <v>323735</v>
      </c>
      <c r="V24" s="4">
        <v>0</v>
      </c>
      <c r="X24" s="4">
        <v>0</v>
      </c>
      <c r="Z24" s="4">
        <v>0</v>
      </c>
      <c r="AB24" s="4">
        <v>0</v>
      </c>
      <c r="AD24" s="4">
        <v>2820</v>
      </c>
      <c r="AF24" s="4">
        <f>SUM(F24:AD24)</f>
        <v>1422738</v>
      </c>
    </row>
    <row r="25" spans="1:55" s="4" customFormat="1">
      <c r="A25" s="4">
        <v>208</v>
      </c>
      <c r="B25" s="4" t="s">
        <v>77</v>
      </c>
      <c r="D25" s="4" t="s">
        <v>78</v>
      </c>
      <c r="F25" s="4">
        <v>910855</v>
      </c>
      <c r="H25" s="4">
        <v>257726</v>
      </c>
      <c r="J25" s="4">
        <v>389119</v>
      </c>
      <c r="L25" s="4">
        <v>328817</v>
      </c>
      <c r="N25" s="4">
        <v>0</v>
      </c>
      <c r="P25" s="4">
        <v>63232</v>
      </c>
      <c r="R25" s="4">
        <v>10692</v>
      </c>
      <c r="T25" s="4">
        <v>90358</v>
      </c>
      <c r="V25" s="4">
        <v>0</v>
      </c>
      <c r="X25" s="4">
        <v>0</v>
      </c>
      <c r="Z25" s="4">
        <v>0</v>
      </c>
      <c r="AB25" s="4">
        <v>0</v>
      </c>
      <c r="AD25" s="4">
        <v>0</v>
      </c>
      <c r="AF25" s="4">
        <f>SUM(F25:AD25)</f>
        <v>2050799</v>
      </c>
    </row>
    <row r="26" spans="1:55" s="4" customFormat="1">
      <c r="A26" s="4">
        <v>8</v>
      </c>
      <c r="B26" s="4" t="s">
        <v>79</v>
      </c>
      <c r="D26" s="4" t="s">
        <v>43</v>
      </c>
      <c r="F26" s="4">
        <v>204228</v>
      </c>
      <c r="H26" s="4">
        <v>58657</v>
      </c>
      <c r="J26" s="4">
        <v>36553</v>
      </c>
      <c r="L26" s="4">
        <v>16159</v>
      </c>
      <c r="N26" s="4">
        <v>0</v>
      </c>
      <c r="P26" s="4">
        <v>4024</v>
      </c>
      <c r="R26" s="4">
        <v>31706</v>
      </c>
      <c r="T26" s="4">
        <v>0</v>
      </c>
      <c r="V26" s="4">
        <v>0</v>
      </c>
      <c r="X26" s="4">
        <v>0</v>
      </c>
      <c r="Z26" s="4">
        <v>11425</v>
      </c>
      <c r="AB26" s="4">
        <v>0</v>
      </c>
      <c r="AD26" s="4">
        <v>0</v>
      </c>
      <c r="AF26" s="4">
        <f>SUM(F26:AD26)</f>
        <v>362752</v>
      </c>
    </row>
    <row r="27" spans="1:55" s="4" customFormat="1">
      <c r="A27" s="4">
        <v>58</v>
      </c>
      <c r="B27" s="4" t="s">
        <v>80</v>
      </c>
      <c r="D27" s="4" t="s">
        <v>81</v>
      </c>
      <c r="F27" s="4">
        <v>165598</v>
      </c>
      <c r="H27" s="4">
        <v>25645</v>
      </c>
      <c r="J27" s="4">
        <v>43761</v>
      </c>
      <c r="L27" s="4">
        <v>64189</v>
      </c>
      <c r="N27" s="4">
        <v>0</v>
      </c>
      <c r="P27" s="4">
        <v>12702</v>
      </c>
      <c r="R27" s="4">
        <v>1134</v>
      </c>
      <c r="T27" s="4">
        <v>10460</v>
      </c>
      <c r="V27" s="4">
        <v>0</v>
      </c>
      <c r="X27" s="4">
        <v>0</v>
      </c>
      <c r="Z27" s="4">
        <v>0</v>
      </c>
      <c r="AB27" s="4">
        <v>0</v>
      </c>
      <c r="AD27" s="4">
        <v>0</v>
      </c>
      <c r="AF27" s="4">
        <f>SUM(F27:AD27)</f>
        <v>323489</v>
      </c>
    </row>
    <row r="28" spans="1:55" s="4" customFormat="1">
      <c r="A28" s="4">
        <v>82</v>
      </c>
      <c r="B28" s="4" t="s">
        <v>298</v>
      </c>
      <c r="D28" s="4" t="s">
        <v>42</v>
      </c>
      <c r="F28" s="4">
        <v>208622</v>
      </c>
      <c r="H28" s="4">
        <v>65014</v>
      </c>
      <c r="J28" s="4">
        <v>65180</v>
      </c>
      <c r="L28" s="4">
        <v>51299</v>
      </c>
      <c r="N28" s="4">
        <v>0</v>
      </c>
      <c r="P28" s="4">
        <v>11410</v>
      </c>
      <c r="R28" s="4">
        <v>914</v>
      </c>
      <c r="T28" s="4">
        <v>2500</v>
      </c>
      <c r="V28" s="4">
        <v>0</v>
      </c>
      <c r="X28" s="4">
        <v>0</v>
      </c>
      <c r="Z28" s="4">
        <v>0</v>
      </c>
      <c r="AB28" s="4">
        <v>0</v>
      </c>
      <c r="AD28" s="4">
        <v>0</v>
      </c>
      <c r="AF28" s="4">
        <f>SUM(F28:AD28)</f>
        <v>404939</v>
      </c>
    </row>
    <row r="29" spans="1:55" s="4" customFormat="1">
      <c r="A29" s="4">
        <v>6</v>
      </c>
      <c r="B29" s="4" t="s">
        <v>82</v>
      </c>
      <c r="D29" s="4" t="s">
        <v>83</v>
      </c>
      <c r="F29" s="4">
        <f>1533626-86201-180190-112281</f>
        <v>1154954</v>
      </c>
      <c r="H29" s="4">
        <v>0</v>
      </c>
      <c r="J29" s="4">
        <v>112281</v>
      </c>
      <c r="L29" s="4">
        <v>180190</v>
      </c>
      <c r="N29" s="4">
        <v>0</v>
      </c>
      <c r="P29" s="4">
        <v>0</v>
      </c>
      <c r="R29" s="4">
        <v>0</v>
      </c>
      <c r="T29" s="4">
        <v>86201</v>
      </c>
      <c r="V29" s="4">
        <v>0</v>
      </c>
      <c r="X29" s="4">
        <v>0</v>
      </c>
      <c r="Z29" s="4">
        <v>0</v>
      </c>
      <c r="AB29" s="4">
        <v>0</v>
      </c>
      <c r="AD29" s="4">
        <v>0</v>
      </c>
      <c r="AF29" s="4">
        <f>SUM(F29:AD29)</f>
        <v>1533626</v>
      </c>
    </row>
    <row r="30" spans="1:55" s="4" customFormat="1">
      <c r="A30" s="4">
        <v>9</v>
      </c>
      <c r="B30" s="4" t="s">
        <v>618</v>
      </c>
      <c r="D30" s="4" t="s">
        <v>43</v>
      </c>
      <c r="F30" s="4">
        <v>782509</v>
      </c>
      <c r="H30" s="4">
        <v>339331</v>
      </c>
      <c r="J30" s="4">
        <v>188433</v>
      </c>
      <c r="L30" s="4">
        <v>217895</v>
      </c>
      <c r="N30" s="4">
        <v>0</v>
      </c>
      <c r="P30" s="4">
        <v>45934</v>
      </c>
      <c r="R30" s="4">
        <v>16806</v>
      </c>
      <c r="T30" s="4">
        <v>107646</v>
      </c>
      <c r="V30" s="4">
        <v>16286</v>
      </c>
      <c r="X30" s="4">
        <v>0</v>
      </c>
      <c r="Z30" s="4">
        <v>16290</v>
      </c>
      <c r="AB30" s="4">
        <v>0</v>
      </c>
      <c r="AD30" s="4">
        <v>0</v>
      </c>
      <c r="AF30" s="4">
        <f>SUM(F30:AD30)</f>
        <v>1731130</v>
      </c>
    </row>
    <row r="31" spans="1:55" s="4" customFormat="1">
      <c r="A31" s="4">
        <v>17</v>
      </c>
      <c r="B31" s="4" t="s">
        <v>595</v>
      </c>
      <c r="D31" s="4" t="s">
        <v>44</v>
      </c>
      <c r="F31" s="4">
        <v>568108</v>
      </c>
      <c r="H31" s="4">
        <v>139303</v>
      </c>
      <c r="J31" s="4">
        <v>181007</v>
      </c>
      <c r="L31" s="4">
        <v>191207</v>
      </c>
      <c r="N31" s="4">
        <v>0</v>
      </c>
      <c r="P31" s="4">
        <v>33047</v>
      </c>
      <c r="R31" s="4">
        <v>7070</v>
      </c>
      <c r="T31" s="4">
        <v>45442</v>
      </c>
      <c r="V31" s="4">
        <v>0</v>
      </c>
      <c r="X31" s="4">
        <v>0</v>
      </c>
      <c r="Z31" s="4">
        <v>22500</v>
      </c>
      <c r="AB31" s="4">
        <v>0</v>
      </c>
      <c r="AD31" s="4">
        <v>0</v>
      </c>
      <c r="AF31" s="4">
        <f>SUM(F31:AD31)</f>
        <v>1187684</v>
      </c>
    </row>
    <row r="32" spans="1:55" s="4" customFormat="1">
      <c r="A32" s="4">
        <v>141</v>
      </c>
      <c r="B32" s="4" t="s">
        <v>84</v>
      </c>
      <c r="D32" s="4" t="s">
        <v>57</v>
      </c>
      <c r="F32" s="4">
        <v>2408301</v>
      </c>
      <c r="H32" s="4">
        <v>0</v>
      </c>
      <c r="J32" s="4">
        <v>0</v>
      </c>
      <c r="L32" s="4">
        <v>0</v>
      </c>
      <c r="N32" s="4">
        <v>0</v>
      </c>
      <c r="P32" s="4">
        <v>0</v>
      </c>
      <c r="R32" s="4">
        <v>0</v>
      </c>
      <c r="T32" s="4">
        <v>52952</v>
      </c>
      <c r="V32" s="4">
        <v>0</v>
      </c>
      <c r="X32" s="4">
        <v>0</v>
      </c>
      <c r="Z32" s="4">
        <v>0</v>
      </c>
      <c r="AB32" s="4">
        <v>0</v>
      </c>
      <c r="AD32" s="4">
        <v>0</v>
      </c>
      <c r="AF32" s="4">
        <f>SUM(F32:AD32)</f>
        <v>2461253</v>
      </c>
    </row>
    <row r="33" spans="1:55" s="4" customFormat="1">
      <c r="A33" s="4">
        <v>217</v>
      </c>
      <c r="B33" s="4" t="s">
        <v>357</v>
      </c>
      <c r="D33" s="4" t="s">
        <v>22</v>
      </c>
      <c r="F33" s="4">
        <v>711556</v>
      </c>
      <c r="H33" s="4">
        <v>201474</v>
      </c>
      <c r="J33" s="4">
        <v>236791</v>
      </c>
      <c r="L33" s="4">
        <v>180588</v>
      </c>
      <c r="N33" s="4">
        <v>0</v>
      </c>
      <c r="P33" s="4">
        <v>23876</v>
      </c>
      <c r="R33" s="4">
        <v>5506</v>
      </c>
      <c r="T33" s="4">
        <v>76371</v>
      </c>
      <c r="V33" s="4">
        <v>0</v>
      </c>
      <c r="X33" s="4">
        <v>0</v>
      </c>
      <c r="Z33" s="4">
        <v>107811</v>
      </c>
      <c r="AB33" s="4">
        <v>0</v>
      </c>
      <c r="AD33" s="4">
        <v>0</v>
      </c>
      <c r="AF33" s="4">
        <f>SUM(F33:AD33)</f>
        <v>1543973</v>
      </c>
    </row>
    <row r="34" spans="1:55" s="4" customFormat="1">
      <c r="A34" s="4">
        <v>19</v>
      </c>
      <c r="B34" s="4" t="s">
        <v>21</v>
      </c>
      <c r="D34" s="4" t="s">
        <v>13</v>
      </c>
      <c r="F34" s="4">
        <v>357131</v>
      </c>
      <c r="H34" s="4">
        <v>0</v>
      </c>
      <c r="J34" s="4">
        <v>89951</v>
      </c>
      <c r="L34" s="4">
        <v>103225</v>
      </c>
      <c r="N34" s="4">
        <v>0</v>
      </c>
      <c r="P34" s="4">
        <v>0</v>
      </c>
      <c r="R34" s="4">
        <v>1785</v>
      </c>
      <c r="T34" s="4">
        <v>349323</v>
      </c>
      <c r="V34" s="4">
        <v>0</v>
      </c>
      <c r="X34" s="4">
        <v>0</v>
      </c>
      <c r="Z34" s="4">
        <v>25000</v>
      </c>
      <c r="AB34" s="4">
        <v>0</v>
      </c>
      <c r="AD34" s="4">
        <v>0</v>
      </c>
      <c r="AF34" s="4">
        <f>SUM(F34:AD34)</f>
        <v>926415</v>
      </c>
    </row>
    <row r="35" spans="1:55" s="4" customFormat="1">
      <c r="A35" s="4">
        <v>20</v>
      </c>
      <c r="B35" s="4" t="s">
        <v>85</v>
      </c>
      <c r="D35" s="4" t="s">
        <v>13</v>
      </c>
      <c r="F35" s="4">
        <v>269039</v>
      </c>
      <c r="H35" s="4">
        <v>102584</v>
      </c>
      <c r="J35" s="4">
        <v>53736</v>
      </c>
      <c r="L35" s="4">
        <v>112142</v>
      </c>
      <c r="N35" s="4">
        <v>0</v>
      </c>
      <c r="P35" s="4">
        <v>23161</v>
      </c>
      <c r="R35" s="4">
        <v>10683</v>
      </c>
      <c r="T35" s="4">
        <v>2373</v>
      </c>
      <c r="V35" s="4">
        <v>0</v>
      </c>
      <c r="X35" s="4">
        <v>0</v>
      </c>
      <c r="Z35" s="4">
        <v>0</v>
      </c>
      <c r="AB35" s="4">
        <v>0</v>
      </c>
      <c r="AD35" s="4">
        <v>83</v>
      </c>
      <c r="AF35" s="4">
        <f>SUM(F35:AD35)</f>
        <v>573801</v>
      </c>
    </row>
    <row r="36" spans="1:55" s="4" customFormat="1">
      <c r="A36" s="4">
        <v>137</v>
      </c>
      <c r="B36" s="4" t="s">
        <v>86</v>
      </c>
      <c r="D36" s="4" t="s">
        <v>87</v>
      </c>
      <c r="F36" s="4">
        <v>35575</v>
      </c>
      <c r="H36" s="4">
        <v>9295</v>
      </c>
      <c r="J36" s="4">
        <v>19081</v>
      </c>
      <c r="L36" s="4">
        <v>21098</v>
      </c>
      <c r="N36" s="4">
        <v>0</v>
      </c>
      <c r="P36" s="4">
        <v>5947</v>
      </c>
      <c r="R36" s="4">
        <v>1973</v>
      </c>
      <c r="T36" s="4">
        <v>418</v>
      </c>
      <c r="V36" s="4">
        <v>0</v>
      </c>
      <c r="X36" s="4">
        <v>0</v>
      </c>
      <c r="Z36" s="4">
        <v>0</v>
      </c>
      <c r="AB36" s="4">
        <v>0</v>
      </c>
      <c r="AD36" s="4">
        <v>0</v>
      </c>
      <c r="AF36" s="4">
        <f>SUM(F36:AD36)</f>
        <v>93387</v>
      </c>
    </row>
    <row r="37" spans="1:55" s="4" customFormat="1">
      <c r="A37" s="4">
        <v>110</v>
      </c>
      <c r="B37" s="4" t="s">
        <v>88</v>
      </c>
      <c r="D37" s="4" t="s">
        <v>89</v>
      </c>
      <c r="F37" s="4">
        <v>18254</v>
      </c>
      <c r="H37" s="4">
        <v>0</v>
      </c>
      <c r="J37" s="4">
        <v>49670</v>
      </c>
      <c r="L37" s="4">
        <v>821862</v>
      </c>
      <c r="N37" s="4">
        <v>105204</v>
      </c>
      <c r="P37" s="4">
        <v>0</v>
      </c>
      <c r="R37" s="4">
        <v>0</v>
      </c>
      <c r="T37" s="4">
        <v>200097</v>
      </c>
      <c r="V37" s="4">
        <v>0</v>
      </c>
      <c r="X37" s="4">
        <v>0</v>
      </c>
      <c r="Z37" s="4">
        <v>63000</v>
      </c>
      <c r="AB37" s="4">
        <v>0</v>
      </c>
      <c r="AD37" s="4">
        <v>0</v>
      </c>
      <c r="AF37" s="4">
        <f>SUM(F37:AD37)</f>
        <v>1258087</v>
      </c>
    </row>
    <row r="38" spans="1:55" s="4" customFormat="1">
      <c r="A38" s="4">
        <v>203</v>
      </c>
      <c r="B38" s="4" t="s">
        <v>90</v>
      </c>
      <c r="D38" s="4" t="s">
        <v>45</v>
      </c>
      <c r="F38" s="4">
        <v>71642</v>
      </c>
      <c r="H38" s="4">
        <v>10030</v>
      </c>
      <c r="J38" s="4">
        <v>15248</v>
      </c>
      <c r="L38" s="4">
        <v>30149</v>
      </c>
      <c r="N38" s="4">
        <v>0</v>
      </c>
      <c r="P38" s="4">
        <v>6930</v>
      </c>
      <c r="R38" s="4">
        <v>951</v>
      </c>
      <c r="T38" s="4">
        <v>4901</v>
      </c>
      <c r="V38" s="4">
        <v>0</v>
      </c>
      <c r="X38" s="4">
        <v>0</v>
      </c>
      <c r="Z38" s="4">
        <v>22500</v>
      </c>
      <c r="AB38" s="4">
        <v>0</v>
      </c>
      <c r="AD38" s="4">
        <v>0</v>
      </c>
      <c r="AF38" s="4">
        <f>SUM(F38:AD38)</f>
        <v>162351</v>
      </c>
    </row>
    <row r="39" spans="1:55" s="4" customFormat="1">
      <c r="A39" s="4">
        <v>74</v>
      </c>
      <c r="B39" s="4" t="s">
        <v>299</v>
      </c>
      <c r="D39" s="4" t="s">
        <v>92</v>
      </c>
      <c r="F39" s="4">
        <v>1168920</v>
      </c>
      <c r="H39" s="4">
        <v>389618</v>
      </c>
      <c r="J39" s="4">
        <v>183690</v>
      </c>
      <c r="L39" s="4">
        <v>236363</v>
      </c>
      <c r="N39" s="4">
        <v>0</v>
      </c>
      <c r="P39" s="4">
        <v>43370</v>
      </c>
      <c r="R39" s="4">
        <v>6398</v>
      </c>
      <c r="T39" s="4">
        <v>54577</v>
      </c>
      <c r="V39" s="4">
        <v>0</v>
      </c>
      <c r="X39" s="4">
        <v>0</v>
      </c>
      <c r="Z39" s="4">
        <v>0</v>
      </c>
      <c r="AB39" s="4">
        <v>0</v>
      </c>
      <c r="AD39" s="4">
        <v>0</v>
      </c>
      <c r="AF39" s="4">
        <f>SUM(F39:AD39)</f>
        <v>2082936</v>
      </c>
    </row>
    <row r="40" spans="1:55" s="4" customFormat="1">
      <c r="A40" s="4">
        <v>200</v>
      </c>
      <c r="B40" s="4" t="s">
        <v>93</v>
      </c>
      <c r="D40" s="4" t="s">
        <v>94</v>
      </c>
      <c r="F40" s="4">
        <v>1062787</v>
      </c>
      <c r="H40" s="4">
        <v>310314</v>
      </c>
      <c r="J40" s="4">
        <v>229456</v>
      </c>
      <c r="L40" s="4">
        <v>293371</v>
      </c>
      <c r="N40" s="4">
        <v>0</v>
      </c>
      <c r="P40" s="4">
        <v>52259</v>
      </c>
      <c r="R40" s="4">
        <v>7135</v>
      </c>
      <c r="T40" s="4">
        <v>37635</v>
      </c>
      <c r="V40" s="4">
        <v>0</v>
      </c>
      <c r="X40" s="4">
        <v>0</v>
      </c>
      <c r="Z40" s="4">
        <v>0</v>
      </c>
      <c r="AB40" s="4">
        <v>0</v>
      </c>
      <c r="AD40" s="4">
        <v>0</v>
      </c>
      <c r="AF40" s="4">
        <f>SUM(F40:AD40)</f>
        <v>1992957</v>
      </c>
    </row>
    <row r="41" spans="1:55" s="4" customFormat="1">
      <c r="A41" s="4">
        <v>35</v>
      </c>
      <c r="B41" s="4" t="s">
        <v>95</v>
      </c>
      <c r="D41" s="4" t="s">
        <v>69</v>
      </c>
      <c r="F41" s="4">
        <v>402429</v>
      </c>
      <c r="H41" s="4">
        <v>336</v>
      </c>
      <c r="J41" s="4">
        <v>80290</v>
      </c>
      <c r="L41" s="4">
        <v>103820</v>
      </c>
      <c r="N41" s="4">
        <v>0</v>
      </c>
      <c r="P41" s="4">
        <v>20755</v>
      </c>
      <c r="R41" s="4">
        <v>3935</v>
      </c>
      <c r="T41" s="4">
        <v>12010</v>
      </c>
      <c r="V41" s="4">
        <v>10000</v>
      </c>
      <c r="X41" s="4">
        <v>1719</v>
      </c>
      <c r="Z41" s="4">
        <v>0</v>
      </c>
      <c r="AB41" s="4">
        <v>0</v>
      </c>
      <c r="AD41" s="4">
        <v>0</v>
      </c>
      <c r="AF41" s="4">
        <f>SUM(F41:AD41)</f>
        <v>635294</v>
      </c>
    </row>
    <row r="42" spans="1:55" s="4" customFormat="1">
      <c r="A42" s="4">
        <v>204</v>
      </c>
      <c r="B42" s="4" t="s">
        <v>96</v>
      </c>
      <c r="D42" s="4" t="s">
        <v>45</v>
      </c>
      <c r="F42" s="4">
        <v>69022</v>
      </c>
      <c r="H42" s="4">
        <v>11118</v>
      </c>
      <c r="J42" s="4">
        <v>17347</v>
      </c>
      <c r="L42" s="4">
        <v>29398</v>
      </c>
      <c r="N42" s="4">
        <v>0</v>
      </c>
      <c r="P42" s="4">
        <v>6624</v>
      </c>
      <c r="R42" s="4">
        <v>8819</v>
      </c>
      <c r="T42" s="4">
        <v>0</v>
      </c>
      <c r="V42" s="4">
        <v>0</v>
      </c>
      <c r="X42" s="4">
        <v>0</v>
      </c>
      <c r="Z42" s="4">
        <v>21491</v>
      </c>
      <c r="AB42" s="4">
        <v>0</v>
      </c>
      <c r="AD42" s="4">
        <v>0</v>
      </c>
      <c r="AF42" s="4">
        <f>SUM(F42:AD42)</f>
        <v>163819</v>
      </c>
    </row>
    <row r="43" spans="1:55" s="4" customFormat="1">
      <c r="A43" s="4">
        <v>3</v>
      </c>
      <c r="B43" s="4" t="s">
        <v>300</v>
      </c>
      <c r="D43" s="4" t="s">
        <v>97</v>
      </c>
      <c r="F43" s="4">
        <v>182725</v>
      </c>
      <c r="H43" s="4">
        <v>46317</v>
      </c>
      <c r="J43" s="4">
        <v>83712</v>
      </c>
      <c r="L43" s="4">
        <v>53293</v>
      </c>
      <c r="N43" s="4">
        <v>0</v>
      </c>
      <c r="P43" s="4">
        <v>9597</v>
      </c>
      <c r="R43" s="4">
        <v>4559</v>
      </c>
      <c r="T43" s="4">
        <v>12760</v>
      </c>
      <c r="V43" s="4">
        <v>0</v>
      </c>
      <c r="X43" s="4">
        <v>0</v>
      </c>
      <c r="Z43" s="4">
        <v>0</v>
      </c>
      <c r="AB43" s="4">
        <v>0</v>
      </c>
      <c r="AD43" s="4">
        <v>0</v>
      </c>
      <c r="AF43" s="4">
        <f>SUM(F43:AD43)</f>
        <v>392963</v>
      </c>
    </row>
    <row r="44" spans="1:55" s="14" customFormat="1">
      <c r="A44" s="4">
        <v>101</v>
      </c>
      <c r="B44" s="4" t="s">
        <v>98</v>
      </c>
      <c r="C44" s="4"/>
      <c r="D44" s="4" t="s">
        <v>46</v>
      </c>
      <c r="E44" s="4"/>
      <c r="F44" s="4">
        <v>110296</v>
      </c>
      <c r="G44" s="4"/>
      <c r="H44" s="4">
        <v>26087</v>
      </c>
      <c r="I44" s="4"/>
      <c r="J44" s="4">
        <v>47354</v>
      </c>
      <c r="K44" s="4"/>
      <c r="L44" s="4">
        <v>34866</v>
      </c>
      <c r="M44" s="4"/>
      <c r="N44" s="4">
        <v>0</v>
      </c>
      <c r="O44" s="4"/>
      <c r="P44" s="4">
        <v>6862</v>
      </c>
      <c r="Q44" s="4"/>
      <c r="R44" s="4">
        <v>730</v>
      </c>
      <c r="S44" s="4"/>
      <c r="T44" s="4">
        <v>13650</v>
      </c>
      <c r="U44" s="4"/>
      <c r="V44" s="4">
        <v>0</v>
      </c>
      <c r="W44" s="4"/>
      <c r="X44" s="4">
        <v>0</v>
      </c>
      <c r="Y44" s="4"/>
      <c r="Z44" s="4">
        <v>420</v>
      </c>
      <c r="AA44" s="4"/>
      <c r="AB44" s="4">
        <v>0</v>
      </c>
      <c r="AC44" s="4"/>
      <c r="AD44" s="4">
        <v>0</v>
      </c>
      <c r="AE44" s="4"/>
      <c r="AF44" s="4">
        <f>SUM(F44:AD44)</f>
        <v>240265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4" customFormat="1">
      <c r="A45" s="4">
        <v>162</v>
      </c>
      <c r="B45" s="4" t="s">
        <v>99</v>
      </c>
      <c r="D45" s="4" t="s">
        <v>53</v>
      </c>
      <c r="F45" s="4">
        <v>104817</v>
      </c>
      <c r="H45" s="4">
        <v>20194</v>
      </c>
      <c r="J45" s="4">
        <v>35769</v>
      </c>
      <c r="L45" s="4">
        <v>23603</v>
      </c>
      <c r="N45" s="4">
        <v>0</v>
      </c>
      <c r="P45" s="4">
        <v>4250</v>
      </c>
      <c r="R45" s="4">
        <v>2343</v>
      </c>
      <c r="T45" s="4">
        <v>8495</v>
      </c>
      <c r="V45" s="4">
        <v>0</v>
      </c>
      <c r="X45" s="4">
        <v>0</v>
      </c>
      <c r="Z45" s="4">
        <v>0</v>
      </c>
      <c r="AB45" s="4">
        <v>0</v>
      </c>
      <c r="AD45" s="4">
        <v>0</v>
      </c>
      <c r="AF45" s="4">
        <f>SUM(F45:AD45)</f>
        <v>199471</v>
      </c>
    </row>
    <row r="46" spans="1:55" s="4" customFormat="1">
      <c r="A46" s="39">
        <v>130.1</v>
      </c>
      <c r="B46" s="4" t="s">
        <v>583</v>
      </c>
      <c r="D46" s="4" t="s">
        <v>584</v>
      </c>
      <c r="F46" s="4">
        <v>1322033</v>
      </c>
      <c r="H46" s="4">
        <v>522416</v>
      </c>
      <c r="J46" s="4">
        <v>248652</v>
      </c>
      <c r="L46" s="4">
        <v>199692</v>
      </c>
      <c r="N46" s="4">
        <v>0</v>
      </c>
      <c r="P46" s="4">
        <v>62386</v>
      </c>
      <c r="R46" s="4">
        <v>2625</v>
      </c>
      <c r="T46" s="4">
        <v>84875</v>
      </c>
      <c r="V46" s="4">
        <v>0</v>
      </c>
      <c r="X46" s="4">
        <v>0</v>
      </c>
      <c r="Z46" s="4">
        <v>0</v>
      </c>
      <c r="AB46" s="4">
        <v>0</v>
      </c>
      <c r="AD46" s="4">
        <v>0</v>
      </c>
      <c r="AF46" s="4">
        <f>SUM(F46:AD46)</f>
        <v>2442679</v>
      </c>
    </row>
    <row r="47" spans="1:55" s="4" customFormat="1">
      <c r="A47" s="4">
        <v>223</v>
      </c>
      <c r="B47" s="4" t="s">
        <v>500</v>
      </c>
      <c r="D47" s="4" t="s">
        <v>56</v>
      </c>
      <c r="F47" s="4">
        <v>220255</v>
      </c>
      <c r="H47" s="4">
        <v>58755</v>
      </c>
      <c r="J47" s="4">
        <v>46372</v>
      </c>
      <c r="L47" s="4">
        <v>133446</v>
      </c>
      <c r="N47" s="4">
        <v>0</v>
      </c>
      <c r="P47" s="4">
        <v>10972</v>
      </c>
      <c r="R47" s="4">
        <v>10444</v>
      </c>
      <c r="T47" s="4">
        <v>3376</v>
      </c>
      <c r="V47" s="4">
        <v>0</v>
      </c>
      <c r="X47" s="4">
        <v>0</v>
      </c>
      <c r="Z47" s="4">
        <v>0</v>
      </c>
      <c r="AB47" s="4">
        <v>0</v>
      </c>
      <c r="AD47" s="4">
        <v>0</v>
      </c>
      <c r="AF47" s="4">
        <f>SUM(F47:AD47)</f>
        <v>483620</v>
      </c>
    </row>
    <row r="48" spans="1:55" s="4" customFormat="1">
      <c r="A48" s="4">
        <v>23</v>
      </c>
      <c r="B48" s="4" t="s">
        <v>475</v>
      </c>
      <c r="D48" s="4" t="s">
        <v>47</v>
      </c>
      <c r="F48" s="4">
        <v>412562</v>
      </c>
      <c r="H48" s="4">
        <v>85543</v>
      </c>
      <c r="J48" s="4">
        <v>183990</v>
      </c>
      <c r="L48" s="4">
        <v>146631</v>
      </c>
      <c r="N48" s="4">
        <v>0</v>
      </c>
      <c r="P48" s="4">
        <v>16350</v>
      </c>
      <c r="R48" s="4">
        <v>4603</v>
      </c>
      <c r="T48" s="4">
        <v>2987</v>
      </c>
      <c r="V48" s="4">
        <v>0</v>
      </c>
      <c r="X48" s="4">
        <v>0</v>
      </c>
      <c r="Z48" s="4">
        <v>0</v>
      </c>
      <c r="AB48" s="4">
        <v>0</v>
      </c>
      <c r="AD48" s="4">
        <v>264</v>
      </c>
      <c r="AF48" s="4">
        <f>SUM(F48:AD48)</f>
        <v>852930</v>
      </c>
    </row>
    <row r="49" spans="1:32" s="4" customFormat="1">
      <c r="A49" s="4">
        <v>194</v>
      </c>
      <c r="B49" s="4" t="s">
        <v>101</v>
      </c>
      <c r="D49" s="4" t="s">
        <v>102</v>
      </c>
      <c r="F49" s="4">
        <v>77323</v>
      </c>
      <c r="H49" s="4">
        <v>12764</v>
      </c>
      <c r="J49" s="4">
        <v>37254</v>
      </c>
      <c r="L49" s="4">
        <v>9885</v>
      </c>
      <c r="N49" s="4">
        <v>0</v>
      </c>
      <c r="P49" s="4">
        <v>3735</v>
      </c>
      <c r="R49" s="4">
        <v>1034</v>
      </c>
      <c r="T49" s="4">
        <v>840</v>
      </c>
      <c r="V49" s="4">
        <v>0</v>
      </c>
      <c r="X49" s="4">
        <v>0</v>
      </c>
      <c r="Z49" s="4">
        <v>0</v>
      </c>
      <c r="AB49" s="4">
        <v>0</v>
      </c>
      <c r="AD49" s="4">
        <v>0</v>
      </c>
      <c r="AF49" s="4">
        <f>SUM(F49:AD49)</f>
        <v>142835</v>
      </c>
    </row>
    <row r="50" spans="1:32" s="4" customFormat="1">
      <c r="A50" s="4">
        <v>46</v>
      </c>
      <c r="B50" s="4" t="s">
        <v>103</v>
      </c>
      <c r="D50" s="4" t="s">
        <v>52</v>
      </c>
      <c r="F50" s="4">
        <v>341897</v>
      </c>
      <c r="J50" s="4">
        <v>162548</v>
      </c>
      <c r="L50" s="4">
        <v>73901</v>
      </c>
      <c r="N50" s="4">
        <v>0</v>
      </c>
      <c r="P50" s="4">
        <v>22429</v>
      </c>
      <c r="R50" s="4">
        <v>3394</v>
      </c>
      <c r="T50" s="4">
        <v>3443109</v>
      </c>
      <c r="V50" s="4">
        <v>0</v>
      </c>
      <c r="X50" s="4">
        <v>0</v>
      </c>
      <c r="Z50" s="4">
        <v>1461376</v>
      </c>
      <c r="AB50" s="4">
        <v>0</v>
      </c>
      <c r="AD50" s="4">
        <v>0</v>
      </c>
      <c r="AF50" s="4">
        <f>SUM(F50:AD50)</f>
        <v>5508654</v>
      </c>
    </row>
    <row r="51" spans="1:32" s="4" customFormat="1">
      <c r="A51" s="4">
        <v>89</v>
      </c>
      <c r="B51" s="4" t="s">
        <v>104</v>
      </c>
      <c r="D51" s="4" t="s">
        <v>17</v>
      </c>
      <c r="F51" s="4">
        <v>402605</v>
      </c>
      <c r="H51" s="4">
        <v>91574</v>
      </c>
      <c r="J51" s="4">
        <v>147718</v>
      </c>
      <c r="L51" s="4">
        <v>114302</v>
      </c>
      <c r="N51" s="4">
        <v>0</v>
      </c>
      <c r="P51" s="4">
        <v>22828</v>
      </c>
      <c r="R51" s="4">
        <v>9388</v>
      </c>
      <c r="T51" s="4">
        <v>31301</v>
      </c>
      <c r="V51" s="4">
        <v>15000</v>
      </c>
      <c r="X51" s="4">
        <v>3474</v>
      </c>
      <c r="Z51" s="4">
        <v>0</v>
      </c>
      <c r="AB51" s="4">
        <v>0</v>
      </c>
      <c r="AD51" s="4">
        <v>0</v>
      </c>
      <c r="AF51" s="4">
        <f>SUM(F51:AD51)</f>
        <v>838190</v>
      </c>
    </row>
    <row r="52" spans="1:32" s="4" customFormat="1">
      <c r="A52" s="4">
        <v>179</v>
      </c>
      <c r="B52" s="4" t="s">
        <v>105</v>
      </c>
      <c r="D52" s="4" t="s">
        <v>106</v>
      </c>
      <c r="F52" s="4">
        <v>244864</v>
      </c>
      <c r="H52" s="4">
        <v>66585</v>
      </c>
      <c r="J52" s="4">
        <v>82751</v>
      </c>
      <c r="L52" s="4">
        <v>83127</v>
      </c>
      <c r="N52" s="4">
        <v>0</v>
      </c>
      <c r="P52" s="4">
        <v>7609</v>
      </c>
      <c r="R52" s="4">
        <v>1629</v>
      </c>
      <c r="T52" s="4">
        <v>11139</v>
      </c>
      <c r="V52" s="4">
        <v>0</v>
      </c>
      <c r="X52" s="4">
        <v>0</v>
      </c>
      <c r="Z52" s="4">
        <v>0</v>
      </c>
      <c r="AB52" s="4">
        <v>0</v>
      </c>
      <c r="AD52" s="4">
        <v>100</v>
      </c>
      <c r="AF52" s="4">
        <f>SUM(F52:AD52)</f>
        <v>497804</v>
      </c>
    </row>
    <row r="53" spans="1:32" s="4" customFormat="1">
      <c r="A53" s="4">
        <v>209</v>
      </c>
      <c r="B53" s="4" t="s">
        <v>107</v>
      </c>
      <c r="D53" s="4" t="s">
        <v>25</v>
      </c>
      <c r="F53" s="4">
        <v>400807</v>
      </c>
      <c r="H53" s="4">
        <v>99666</v>
      </c>
      <c r="J53" s="4">
        <v>141566</v>
      </c>
      <c r="L53" s="4">
        <v>171951</v>
      </c>
      <c r="N53" s="4">
        <v>0</v>
      </c>
      <c r="P53" s="4">
        <v>16839</v>
      </c>
      <c r="R53" s="4">
        <v>3155</v>
      </c>
      <c r="T53" s="4">
        <v>40149</v>
      </c>
      <c r="V53" s="4">
        <v>0</v>
      </c>
      <c r="X53" s="4">
        <v>0</v>
      </c>
      <c r="Z53" s="4">
        <v>0</v>
      </c>
      <c r="AB53" s="4">
        <v>0</v>
      </c>
      <c r="AD53" s="4">
        <v>114</v>
      </c>
      <c r="AF53" s="4">
        <f>SUM(F53:AD53)</f>
        <v>874247</v>
      </c>
    </row>
    <row r="54" spans="1:32" s="4" customFormat="1">
      <c r="A54" s="4">
        <v>174</v>
      </c>
      <c r="B54" s="4" t="s">
        <v>108</v>
      </c>
      <c r="D54" s="4" t="s">
        <v>68</v>
      </c>
      <c r="F54" s="4">
        <v>146277</v>
      </c>
      <c r="H54" s="4">
        <v>24729</v>
      </c>
      <c r="J54" s="4">
        <v>46529</v>
      </c>
      <c r="L54" s="4">
        <v>38533</v>
      </c>
      <c r="N54" s="4">
        <v>0</v>
      </c>
      <c r="P54" s="4">
        <v>9186</v>
      </c>
      <c r="R54" s="4">
        <v>3019</v>
      </c>
      <c r="T54" s="4">
        <v>12090</v>
      </c>
      <c r="V54" s="4">
        <v>0</v>
      </c>
      <c r="X54" s="4">
        <v>0</v>
      </c>
      <c r="Z54" s="4">
        <v>0</v>
      </c>
      <c r="AB54" s="4">
        <v>0</v>
      </c>
      <c r="AD54" s="4">
        <v>0</v>
      </c>
      <c r="AF54" s="4">
        <f>SUM(F54:AD54)</f>
        <v>280363</v>
      </c>
    </row>
    <row r="55" spans="1:32" s="4" customFormat="1">
      <c r="A55" s="4">
        <v>73</v>
      </c>
      <c r="B55" s="4" t="s">
        <v>109</v>
      </c>
      <c r="D55" s="4" t="s">
        <v>110</v>
      </c>
      <c r="F55" s="4">
        <f>341779+16913+93685</f>
        <v>452377</v>
      </c>
      <c r="H55" s="4">
        <v>0</v>
      </c>
      <c r="J55" s="4">
        <v>0</v>
      </c>
      <c r="L55" s="4">
        <v>432004</v>
      </c>
      <c r="N55" s="4">
        <v>107801</v>
      </c>
      <c r="P55" s="4">
        <v>0</v>
      </c>
      <c r="R55" s="4">
        <v>0</v>
      </c>
      <c r="T55" s="4">
        <v>555003</v>
      </c>
      <c r="V55" s="4">
        <v>0</v>
      </c>
      <c r="X55" s="4">
        <v>0</v>
      </c>
      <c r="Z55" s="4">
        <v>0</v>
      </c>
      <c r="AB55" s="4">
        <v>0</v>
      </c>
      <c r="AD55" s="4">
        <v>0</v>
      </c>
      <c r="AF55" s="4">
        <f>SUM(F55:AD55)</f>
        <v>1547185</v>
      </c>
    </row>
    <row r="56" spans="1:32" s="4" customFormat="1">
      <c r="A56" s="4">
        <v>27</v>
      </c>
      <c r="B56" s="4" t="s">
        <v>596</v>
      </c>
      <c r="D56" s="4" t="s">
        <v>48</v>
      </c>
      <c r="F56" s="4">
        <v>413110</v>
      </c>
      <c r="H56" s="4">
        <v>140854</v>
      </c>
      <c r="J56" s="4">
        <v>83675</v>
      </c>
      <c r="L56" s="4">
        <v>104731</v>
      </c>
      <c r="N56" s="4">
        <v>0</v>
      </c>
      <c r="P56" s="4">
        <v>30108</v>
      </c>
      <c r="R56" s="4">
        <v>18658</v>
      </c>
      <c r="T56" s="4">
        <v>54724</v>
      </c>
      <c r="V56" s="4">
        <v>0</v>
      </c>
      <c r="X56" s="4">
        <v>0</v>
      </c>
      <c r="Z56" s="4">
        <v>53402</v>
      </c>
      <c r="AB56" s="4">
        <v>0</v>
      </c>
      <c r="AD56" s="4">
        <v>17</v>
      </c>
      <c r="AF56" s="4">
        <f>SUM(F56:AD56)</f>
        <v>899279</v>
      </c>
    </row>
    <row r="57" spans="1:32" s="4" customFormat="1">
      <c r="A57" s="4">
        <v>121</v>
      </c>
      <c r="B57" s="4" t="s">
        <v>111</v>
      </c>
      <c r="D57" s="4" t="s">
        <v>16</v>
      </c>
      <c r="F57" s="4">
        <v>112226</v>
      </c>
      <c r="H57" s="4">
        <v>18987</v>
      </c>
      <c r="J57" s="4">
        <v>18649</v>
      </c>
      <c r="L57" s="4">
        <v>41706</v>
      </c>
      <c r="N57" s="4">
        <v>0</v>
      </c>
      <c r="P57" s="4">
        <v>8625</v>
      </c>
      <c r="R57" s="4">
        <v>2325</v>
      </c>
      <c r="T57" s="4">
        <v>5544</v>
      </c>
      <c r="V57" s="4">
        <v>0</v>
      </c>
      <c r="X57" s="4">
        <v>0</v>
      </c>
      <c r="Z57" s="4">
        <v>0</v>
      </c>
      <c r="AB57" s="4">
        <v>0</v>
      </c>
      <c r="AD57" s="4">
        <v>0</v>
      </c>
      <c r="AF57" s="4">
        <f>SUM(F57:AD57)</f>
        <v>208062</v>
      </c>
    </row>
    <row r="58" spans="1:32" s="4" customFormat="1">
      <c r="A58" s="4">
        <v>28</v>
      </c>
      <c r="B58" s="4" t="s">
        <v>597</v>
      </c>
      <c r="D58" s="4" t="s">
        <v>62</v>
      </c>
      <c r="F58" s="4">
        <v>488270</v>
      </c>
      <c r="H58" s="4">
        <v>115763</v>
      </c>
      <c r="J58" s="4">
        <v>157095</v>
      </c>
      <c r="L58" s="4">
        <f>141552+16066</f>
        <v>157618</v>
      </c>
      <c r="N58" s="4">
        <v>0</v>
      </c>
      <c r="P58" s="4">
        <v>28004</v>
      </c>
      <c r="R58" s="4">
        <v>5467</v>
      </c>
      <c r="T58" s="4">
        <f>4920+13737</f>
        <v>18657</v>
      </c>
      <c r="V58" s="4">
        <v>0</v>
      </c>
      <c r="X58" s="4">
        <v>0</v>
      </c>
      <c r="Z58" s="4">
        <v>0</v>
      </c>
      <c r="AB58" s="4">
        <v>0</v>
      </c>
      <c r="AD58" s="4">
        <v>0</v>
      </c>
      <c r="AF58" s="4">
        <f>SUM(F58:AD58)</f>
        <v>970874</v>
      </c>
    </row>
    <row r="59" spans="1:32" s="4" customFormat="1">
      <c r="A59" s="4">
        <v>199</v>
      </c>
      <c r="B59" s="4" t="s">
        <v>112</v>
      </c>
      <c r="D59" s="4" t="s">
        <v>49</v>
      </c>
      <c r="F59" s="4">
        <v>1423007</v>
      </c>
      <c r="H59" s="4">
        <v>505019</v>
      </c>
      <c r="J59" s="4">
        <v>442257</v>
      </c>
      <c r="L59" s="4">
        <v>360003</v>
      </c>
      <c r="N59" s="4">
        <v>0</v>
      </c>
      <c r="P59" s="4">
        <v>86217</v>
      </c>
      <c r="R59" s="4">
        <v>9800</v>
      </c>
      <c r="T59" s="4">
        <v>100064</v>
      </c>
      <c r="V59" s="4">
        <v>0</v>
      </c>
      <c r="X59" s="4">
        <v>0</v>
      </c>
      <c r="Z59" s="4">
        <v>0</v>
      </c>
      <c r="AB59" s="4">
        <v>0</v>
      </c>
      <c r="AD59" s="4">
        <v>0</v>
      </c>
      <c r="AF59" s="4">
        <f>SUM(F59:AD59)</f>
        <v>2926367</v>
      </c>
    </row>
    <row r="60" spans="1:32" s="4" customFormat="1">
      <c r="A60" s="4">
        <v>32</v>
      </c>
      <c r="B60" s="4" t="s">
        <v>113</v>
      </c>
      <c r="D60" s="4" t="s">
        <v>114</v>
      </c>
      <c r="F60" s="4">
        <v>2514609</v>
      </c>
      <c r="H60" s="4">
        <v>999780</v>
      </c>
      <c r="J60" s="4">
        <v>1086865</v>
      </c>
      <c r="L60" s="4">
        <v>1183439</v>
      </c>
      <c r="N60" s="4">
        <v>0</v>
      </c>
      <c r="P60" s="4">
        <v>181906</v>
      </c>
      <c r="R60" s="4">
        <v>21649</v>
      </c>
      <c r="T60" s="4">
        <v>942389</v>
      </c>
      <c r="V60" s="4">
        <v>0</v>
      </c>
      <c r="X60" s="4">
        <v>0</v>
      </c>
      <c r="Z60" s="4">
        <v>0</v>
      </c>
      <c r="AB60" s="4">
        <v>0</v>
      </c>
      <c r="AD60" s="4">
        <v>0</v>
      </c>
      <c r="AF60" s="4">
        <f>SUM(F60:AD60)</f>
        <v>6930637</v>
      </c>
    </row>
    <row r="61" spans="1:32" s="4" customFormat="1">
      <c r="A61" s="4">
        <v>231</v>
      </c>
      <c r="B61" s="4" t="s">
        <v>301</v>
      </c>
      <c r="D61" s="4" t="s">
        <v>26</v>
      </c>
      <c r="F61" s="4">
        <v>245639</v>
      </c>
      <c r="H61" s="4">
        <v>56408</v>
      </c>
      <c r="J61" s="4">
        <v>53373</v>
      </c>
      <c r="L61" s="4">
        <v>94203</v>
      </c>
      <c r="N61" s="4">
        <v>0</v>
      </c>
      <c r="P61" s="4">
        <v>14080</v>
      </c>
      <c r="R61" s="4">
        <v>4908</v>
      </c>
      <c r="T61" s="4">
        <v>15188</v>
      </c>
      <c r="V61" s="4">
        <v>0</v>
      </c>
      <c r="X61" s="4">
        <v>0</v>
      </c>
      <c r="Z61" s="4">
        <v>0</v>
      </c>
      <c r="AB61" s="4">
        <v>0</v>
      </c>
      <c r="AD61" s="4">
        <v>0</v>
      </c>
      <c r="AF61" s="4">
        <f>SUM(F61:AD61)</f>
        <v>483799</v>
      </c>
    </row>
    <row r="62" spans="1:32" s="4" customFormat="1">
      <c r="A62" s="4">
        <v>34</v>
      </c>
      <c r="B62" s="4" t="s">
        <v>115</v>
      </c>
      <c r="D62" s="4" t="s">
        <v>116</v>
      </c>
      <c r="F62" s="4">
        <f>1010767+988154+559054+1</f>
        <v>2557976</v>
      </c>
      <c r="H62" s="4">
        <v>0</v>
      </c>
      <c r="J62" s="4">
        <v>0</v>
      </c>
      <c r="L62" s="4">
        <f>3144054+1232323+1</f>
        <v>4376378</v>
      </c>
      <c r="N62" s="4">
        <v>0</v>
      </c>
      <c r="P62" s="4">
        <v>0</v>
      </c>
      <c r="R62" s="4">
        <v>0</v>
      </c>
      <c r="T62" s="4">
        <v>84714</v>
      </c>
      <c r="V62" s="4">
        <v>220000</v>
      </c>
      <c r="X62" s="4">
        <v>143331</v>
      </c>
      <c r="Z62" s="4">
        <v>584150</v>
      </c>
      <c r="AB62" s="4">
        <v>41368</v>
      </c>
      <c r="AD62" s="4">
        <v>8523</v>
      </c>
      <c r="AF62" s="4">
        <f>SUM(F62:AD62)</f>
        <v>8016440</v>
      </c>
    </row>
    <row r="63" spans="1:32" s="4" customFormat="1">
      <c r="A63" s="4">
        <v>49</v>
      </c>
      <c r="B63" s="4" t="s">
        <v>427</v>
      </c>
      <c r="D63" s="4" t="s">
        <v>19</v>
      </c>
      <c r="F63" s="4">
        <v>1466785</v>
      </c>
      <c r="H63" s="4">
        <v>0</v>
      </c>
      <c r="J63" s="4">
        <v>0</v>
      </c>
      <c r="L63" s="4">
        <v>6426265</v>
      </c>
      <c r="N63" s="4">
        <v>0</v>
      </c>
      <c r="P63" s="4">
        <v>0</v>
      </c>
      <c r="R63" s="4">
        <v>0</v>
      </c>
      <c r="T63" s="4">
        <v>321679</v>
      </c>
      <c r="V63" s="4">
        <v>71353</v>
      </c>
      <c r="X63" s="4">
        <v>29122</v>
      </c>
      <c r="Z63" s="4">
        <v>400000</v>
      </c>
      <c r="AB63" s="4">
        <v>0</v>
      </c>
      <c r="AD63" s="4">
        <v>0</v>
      </c>
      <c r="AF63" s="4">
        <f>SUM(F63:AD63)</f>
        <v>8715204</v>
      </c>
    </row>
    <row r="64" spans="1:32" s="4" customFormat="1">
      <c r="A64" s="4">
        <v>50</v>
      </c>
      <c r="B64" s="4" t="s">
        <v>428</v>
      </c>
      <c r="D64" s="4" t="s">
        <v>19</v>
      </c>
      <c r="F64" s="4">
        <v>25970677</v>
      </c>
      <c r="H64" s="4">
        <v>0</v>
      </c>
      <c r="J64" s="4">
        <v>0</v>
      </c>
      <c r="L64" s="4">
        <v>43880145</v>
      </c>
      <c r="N64" s="4">
        <v>0</v>
      </c>
      <c r="P64" s="4">
        <v>0</v>
      </c>
      <c r="R64" s="4">
        <v>0</v>
      </c>
      <c r="T64" s="4">
        <v>2370737</v>
      </c>
      <c r="V64" s="4">
        <v>0</v>
      </c>
      <c r="X64" s="4">
        <v>0</v>
      </c>
      <c r="Z64" s="4">
        <v>0</v>
      </c>
      <c r="AB64" s="4">
        <v>0</v>
      </c>
      <c r="AD64" s="4">
        <v>0</v>
      </c>
      <c r="AF64" s="4">
        <f>SUM(F64:AD64)</f>
        <v>72221559</v>
      </c>
    </row>
    <row r="65" spans="1:32" s="4" customFormat="1">
      <c r="A65" s="4">
        <v>201</v>
      </c>
      <c r="B65" s="4" t="s">
        <v>453</v>
      </c>
      <c r="D65" s="4" t="s">
        <v>94</v>
      </c>
      <c r="F65" s="4">
        <v>278429</v>
      </c>
      <c r="H65" s="4">
        <v>55011</v>
      </c>
      <c r="J65" s="4">
        <v>79785</v>
      </c>
      <c r="L65" s="4">
        <v>119856</v>
      </c>
      <c r="N65" s="4">
        <v>0</v>
      </c>
      <c r="P65" s="4">
        <v>25641</v>
      </c>
      <c r="R65" s="4">
        <v>10011</v>
      </c>
      <c r="T65" s="4">
        <v>8569</v>
      </c>
      <c r="V65" s="4">
        <v>53173</v>
      </c>
      <c r="X65" s="4">
        <v>22417</v>
      </c>
      <c r="Z65" s="4">
        <v>75590</v>
      </c>
      <c r="AB65" s="4">
        <v>0</v>
      </c>
      <c r="AD65" s="4">
        <v>0</v>
      </c>
      <c r="AF65" s="4">
        <f>SUM(F65:AD65)</f>
        <v>728482</v>
      </c>
    </row>
    <row r="66" spans="1:32" s="4" customFormat="1">
      <c r="A66" s="4">
        <v>158</v>
      </c>
      <c r="B66" s="4" t="s">
        <v>492</v>
      </c>
      <c r="D66" s="4" t="s">
        <v>50</v>
      </c>
      <c r="F66" s="4">
        <v>137819</v>
      </c>
      <c r="H66" s="4">
        <v>32570</v>
      </c>
      <c r="J66" s="4">
        <v>51117</v>
      </c>
      <c r="L66" s="4">
        <v>34868</v>
      </c>
      <c r="N66" s="4">
        <v>0</v>
      </c>
      <c r="P66" s="4">
        <v>6776</v>
      </c>
      <c r="R66" s="4">
        <v>2048</v>
      </c>
      <c r="T66" s="4">
        <v>3666</v>
      </c>
      <c r="V66" s="4">
        <v>0</v>
      </c>
      <c r="X66" s="4">
        <v>0</v>
      </c>
      <c r="Z66" s="4">
        <v>0</v>
      </c>
      <c r="AB66" s="4">
        <v>0</v>
      </c>
      <c r="AD66" s="4">
        <v>0</v>
      </c>
      <c r="AF66" s="4">
        <f>SUM(F66:AD66)</f>
        <v>268864</v>
      </c>
    </row>
    <row r="67" spans="1:32" s="4" customFormat="1">
      <c r="A67" s="4">
        <v>38</v>
      </c>
      <c r="B67" s="4" t="s">
        <v>454</v>
      </c>
      <c r="D67" s="4" t="s">
        <v>51</v>
      </c>
      <c r="F67" s="4">
        <v>367774</v>
      </c>
      <c r="H67" s="4">
        <v>74065</v>
      </c>
      <c r="J67" s="4">
        <v>91343</v>
      </c>
      <c r="L67" s="4">
        <v>154201</v>
      </c>
      <c r="N67" s="4">
        <v>0</v>
      </c>
      <c r="P67" s="4">
        <v>22680</v>
      </c>
      <c r="R67" s="4">
        <v>7119</v>
      </c>
      <c r="T67" s="4">
        <v>45509</v>
      </c>
      <c r="V67" s="4">
        <v>0</v>
      </c>
      <c r="X67" s="4">
        <v>0</v>
      </c>
      <c r="Z67" s="4">
        <v>150000</v>
      </c>
      <c r="AB67" s="4">
        <v>0</v>
      </c>
      <c r="AD67" s="4">
        <v>0</v>
      </c>
      <c r="AF67" s="4">
        <f>SUM(F67:AD67)</f>
        <v>912691</v>
      </c>
    </row>
    <row r="68" spans="1:32" s="4" customFormat="1">
      <c r="A68" s="4">
        <v>76</v>
      </c>
      <c r="B68" s="4" t="s">
        <v>118</v>
      </c>
      <c r="D68" s="4" t="s">
        <v>92</v>
      </c>
      <c r="F68" s="4">
        <v>26862634</v>
      </c>
      <c r="H68" s="4">
        <v>7340098</v>
      </c>
      <c r="J68" s="4">
        <v>9924449</v>
      </c>
      <c r="L68" s="4">
        <v>6751106</v>
      </c>
      <c r="N68" s="4">
        <v>0</v>
      </c>
      <c r="P68" s="4">
        <v>1355168</v>
      </c>
      <c r="R68" s="4">
        <v>803303</v>
      </c>
      <c r="T68" s="4">
        <v>2122865</v>
      </c>
      <c r="V68" s="4">
        <v>0</v>
      </c>
      <c r="X68" s="4">
        <v>0</v>
      </c>
      <c r="Z68" s="4">
        <v>2168424</v>
      </c>
      <c r="AB68" s="4">
        <v>0</v>
      </c>
      <c r="AD68" s="4">
        <v>0</v>
      </c>
      <c r="AF68" s="4">
        <f>SUM(F68:AD68)</f>
        <v>57328047</v>
      </c>
    </row>
    <row r="69" spans="1:32" s="4" customFormat="1">
      <c r="A69" s="4">
        <v>63</v>
      </c>
      <c r="B69" s="4" t="s">
        <v>455</v>
      </c>
      <c r="D69" s="4" t="s">
        <v>70</v>
      </c>
      <c r="F69" s="4">
        <v>377374</v>
      </c>
      <c r="H69" s="4">
        <v>117037</v>
      </c>
      <c r="J69" s="4">
        <v>101088</v>
      </c>
      <c r="L69" s="4">
        <v>56555</v>
      </c>
      <c r="N69" s="4">
        <v>0</v>
      </c>
      <c r="P69" s="4">
        <v>11073</v>
      </c>
      <c r="R69" s="4">
        <v>1685</v>
      </c>
      <c r="T69" s="4">
        <v>7131</v>
      </c>
      <c r="V69" s="4">
        <v>0</v>
      </c>
      <c r="X69" s="4">
        <v>0</v>
      </c>
      <c r="Z69" s="4">
        <v>0</v>
      </c>
      <c r="AB69" s="4">
        <v>0</v>
      </c>
      <c r="AD69" s="4">
        <v>0</v>
      </c>
      <c r="AF69" s="4">
        <f>SUM(F69:AD69)</f>
        <v>671943</v>
      </c>
    </row>
    <row r="70" spans="1:32" s="4" customFormat="1">
      <c r="A70" s="4">
        <v>10</v>
      </c>
      <c r="B70" s="4" t="s">
        <v>119</v>
      </c>
      <c r="D70" s="4" t="s">
        <v>43</v>
      </c>
      <c r="F70" s="4">
        <v>350271</v>
      </c>
      <c r="H70" s="4">
        <v>112491</v>
      </c>
      <c r="J70" s="4">
        <v>61067</v>
      </c>
      <c r="L70" s="4">
        <v>74436</v>
      </c>
      <c r="N70" s="4">
        <v>0</v>
      </c>
      <c r="P70" s="4">
        <v>27218</v>
      </c>
      <c r="R70" s="4">
        <v>10766</v>
      </c>
      <c r="T70" s="4">
        <v>11496</v>
      </c>
      <c r="V70" s="4">
        <v>0</v>
      </c>
      <c r="X70" s="4">
        <v>0</v>
      </c>
      <c r="Z70" s="4">
        <v>40000</v>
      </c>
      <c r="AB70" s="4">
        <v>28558</v>
      </c>
      <c r="AD70" s="4">
        <v>0</v>
      </c>
      <c r="AF70" s="4">
        <f>SUM(F70:AD70)</f>
        <v>716303</v>
      </c>
    </row>
    <row r="71" spans="1:32" s="4" customFormat="1">
      <c r="A71" s="4">
        <v>45</v>
      </c>
      <c r="B71" s="4" t="s">
        <v>120</v>
      </c>
      <c r="D71" s="4" t="s">
        <v>121</v>
      </c>
      <c r="F71" s="4">
        <v>876474</v>
      </c>
      <c r="H71" s="4">
        <v>234607</v>
      </c>
      <c r="J71" s="4">
        <v>249079</v>
      </c>
      <c r="L71" s="4">
        <v>185967</v>
      </c>
      <c r="N71" s="4">
        <v>0</v>
      </c>
      <c r="P71" s="4">
        <v>34344</v>
      </c>
      <c r="R71" s="4">
        <v>10339</v>
      </c>
      <c r="T71" s="4">
        <v>98767</v>
      </c>
      <c r="V71" s="4">
        <v>0</v>
      </c>
      <c r="X71" s="4">
        <v>0</v>
      </c>
      <c r="Z71" s="4">
        <v>67280</v>
      </c>
      <c r="AB71" s="4">
        <v>0</v>
      </c>
      <c r="AD71" s="4">
        <v>0</v>
      </c>
      <c r="AF71" s="4">
        <f>SUM(F71:AD71)</f>
        <v>1756857</v>
      </c>
    </row>
    <row r="72" spans="1:32" s="4" customFormat="1">
      <c r="A72" s="4">
        <v>47</v>
      </c>
      <c r="B72" s="4" t="s">
        <v>122</v>
      </c>
      <c r="D72" s="4" t="s">
        <v>52</v>
      </c>
      <c r="F72" s="4">
        <v>233972</v>
      </c>
      <c r="H72" s="4">
        <v>40092</v>
      </c>
      <c r="J72" s="4">
        <v>87221</v>
      </c>
      <c r="L72" s="4">
        <v>110018</v>
      </c>
      <c r="N72" s="4">
        <v>0</v>
      </c>
      <c r="P72" s="4">
        <v>21867</v>
      </c>
      <c r="R72" s="4">
        <v>3198</v>
      </c>
      <c r="T72" s="4">
        <v>10589</v>
      </c>
      <c r="V72" s="4">
        <v>0</v>
      </c>
      <c r="X72" s="4">
        <v>0</v>
      </c>
      <c r="Z72" s="4">
        <v>0</v>
      </c>
      <c r="AB72" s="4">
        <v>0</v>
      </c>
      <c r="AD72" s="4">
        <v>0</v>
      </c>
      <c r="AF72" s="4">
        <f>SUM(F72:AD72)</f>
        <v>506957</v>
      </c>
    </row>
    <row r="73" spans="1:32" s="4" customFormat="1">
      <c r="A73" s="4">
        <v>51</v>
      </c>
      <c r="B73" s="4" t="s">
        <v>598</v>
      </c>
      <c r="D73" s="4" t="s">
        <v>19</v>
      </c>
      <c r="F73" s="4">
        <f>13077637+3070048</f>
        <v>16147685</v>
      </c>
      <c r="H73" s="4">
        <v>0</v>
      </c>
      <c r="J73" s="4">
        <v>0</v>
      </c>
      <c r="L73" s="4">
        <v>41420202</v>
      </c>
      <c r="N73" s="4">
        <v>5416361</v>
      </c>
      <c r="P73" s="4">
        <v>0</v>
      </c>
      <c r="R73" s="4">
        <v>0</v>
      </c>
      <c r="T73" s="4">
        <v>1238727</v>
      </c>
      <c r="V73" s="4">
        <v>0</v>
      </c>
      <c r="X73" s="4">
        <v>0</v>
      </c>
      <c r="Z73" s="4">
        <v>5155000</v>
      </c>
      <c r="AB73" s="4">
        <v>0</v>
      </c>
      <c r="AD73" s="4">
        <v>0</v>
      </c>
      <c r="AF73" s="4">
        <f>SUM(F73:AD73)</f>
        <v>69377975</v>
      </c>
    </row>
    <row r="74" spans="1:32" s="4" customFormat="1">
      <c r="A74" s="4">
        <v>169</v>
      </c>
      <c r="B74" s="4" t="s">
        <v>124</v>
      </c>
      <c r="D74" s="4" t="s">
        <v>55</v>
      </c>
      <c r="F74" s="4">
        <f>2546515+6895649</f>
        <v>9442164</v>
      </c>
      <c r="H74" s="4">
        <v>0</v>
      </c>
      <c r="J74" s="4">
        <v>0</v>
      </c>
      <c r="L74" s="4">
        <f>881057+17463256</f>
        <v>18344313</v>
      </c>
      <c r="N74" s="4">
        <v>499147</v>
      </c>
      <c r="P74" s="4">
        <v>0</v>
      </c>
      <c r="R74" s="4">
        <v>0</v>
      </c>
      <c r="T74" s="4">
        <v>907098</v>
      </c>
      <c r="V74" s="4">
        <v>0</v>
      </c>
      <c r="X74" s="4">
        <v>0</v>
      </c>
      <c r="Z74" s="4">
        <v>102328</v>
      </c>
      <c r="AB74" s="4">
        <v>0</v>
      </c>
      <c r="AD74" s="4">
        <v>0</v>
      </c>
      <c r="AF74" s="4">
        <f>SUM(F74:AD74)</f>
        <v>29295050</v>
      </c>
    </row>
    <row r="75" spans="1:32" s="4" customFormat="1">
      <c r="A75" s="4">
        <v>62</v>
      </c>
      <c r="B75" s="4" t="s">
        <v>125</v>
      </c>
      <c r="D75" s="4" t="s">
        <v>126</v>
      </c>
      <c r="F75" s="4">
        <v>844085</v>
      </c>
      <c r="H75" s="4">
        <v>233045</v>
      </c>
      <c r="J75" s="4">
        <v>294748</v>
      </c>
      <c r="L75" s="4">
        <v>231831</v>
      </c>
      <c r="N75" s="4">
        <v>0</v>
      </c>
      <c r="P75" s="4">
        <v>52724</v>
      </c>
      <c r="R75" s="4">
        <v>9946</v>
      </c>
      <c r="T75" s="4">
        <v>179325</v>
      </c>
      <c r="V75" s="4">
        <v>0</v>
      </c>
      <c r="X75" s="4">
        <v>0</v>
      </c>
      <c r="Z75" s="4">
        <v>50000</v>
      </c>
      <c r="AB75" s="4">
        <v>0</v>
      </c>
      <c r="AD75" s="4">
        <v>0</v>
      </c>
      <c r="AF75" s="4">
        <f>SUM(F75:AD75)</f>
        <v>1895704</v>
      </c>
    </row>
    <row r="76" spans="1:32" s="4" customFormat="1">
      <c r="A76" s="4">
        <v>64</v>
      </c>
      <c r="B76" s="4" t="s">
        <v>127</v>
      </c>
      <c r="D76" s="4" t="s">
        <v>70</v>
      </c>
      <c r="F76" s="4">
        <f>1658828+1</f>
        <v>1658829</v>
      </c>
      <c r="H76" s="4">
        <v>0</v>
      </c>
      <c r="J76" s="4">
        <v>298947</v>
      </c>
      <c r="L76" s="4">
        <v>365075</v>
      </c>
      <c r="N76" s="4">
        <v>0</v>
      </c>
      <c r="P76" s="4">
        <v>97761</v>
      </c>
      <c r="R76" s="4">
        <v>1213</v>
      </c>
      <c r="T76" s="4">
        <v>78535</v>
      </c>
      <c r="V76" s="4">
        <v>230000</v>
      </c>
      <c r="X76" s="4">
        <v>30475</v>
      </c>
      <c r="Z76" s="4">
        <v>0</v>
      </c>
      <c r="AB76" s="4">
        <v>0</v>
      </c>
      <c r="AD76" s="4">
        <v>0</v>
      </c>
      <c r="AF76" s="4">
        <f>SUM(F76:AD76)</f>
        <v>2760835</v>
      </c>
    </row>
    <row r="77" spans="1:32" s="4" customFormat="1">
      <c r="A77" s="4">
        <v>4</v>
      </c>
      <c r="B77" s="4" t="s">
        <v>128</v>
      </c>
      <c r="D77" s="4" t="s">
        <v>97</v>
      </c>
      <c r="F77" s="4">
        <v>266294</v>
      </c>
      <c r="H77" s="4">
        <v>38812</v>
      </c>
      <c r="J77" s="4">
        <v>77817</v>
      </c>
      <c r="L77" s="4">
        <v>116068</v>
      </c>
      <c r="N77" s="4">
        <v>0</v>
      </c>
      <c r="P77" s="4">
        <v>31714</v>
      </c>
      <c r="R77" s="4">
        <v>4366</v>
      </c>
      <c r="T77" s="4">
        <v>87600</v>
      </c>
      <c r="V77" s="4">
        <v>0</v>
      </c>
      <c r="X77" s="4">
        <v>0</v>
      </c>
      <c r="Z77" s="4">
        <v>0</v>
      </c>
      <c r="AB77" s="4">
        <v>0</v>
      </c>
      <c r="AD77" s="4">
        <v>0</v>
      </c>
      <c r="AF77" s="4">
        <f>SUM(F77:AD77)</f>
        <v>622671</v>
      </c>
    </row>
    <row r="78" spans="1:32" s="4" customFormat="1">
      <c r="A78" s="4">
        <v>83</v>
      </c>
      <c r="B78" s="4" t="s">
        <v>129</v>
      </c>
      <c r="D78" s="4" t="s">
        <v>42</v>
      </c>
      <c r="F78" s="4">
        <v>251291</v>
      </c>
      <c r="H78" s="4">
        <v>52866</v>
      </c>
      <c r="J78" s="4">
        <v>49080</v>
      </c>
      <c r="L78" s="4">
        <v>77520</v>
      </c>
      <c r="N78" s="4">
        <v>0</v>
      </c>
      <c r="P78" s="4">
        <v>11936</v>
      </c>
      <c r="R78" s="4">
        <v>6921</v>
      </c>
      <c r="T78" s="4">
        <v>160143</v>
      </c>
      <c r="V78" s="4">
        <v>0</v>
      </c>
      <c r="X78" s="4">
        <v>0</v>
      </c>
      <c r="Z78" s="4">
        <v>148000</v>
      </c>
      <c r="AB78" s="4">
        <v>0</v>
      </c>
      <c r="AD78" s="4">
        <v>0</v>
      </c>
      <c r="AF78" s="4">
        <f>SUM(F78:AD78)</f>
        <v>757757</v>
      </c>
    </row>
    <row r="79" spans="1:32" s="4" customFormat="1">
      <c r="A79" s="4">
        <v>258</v>
      </c>
      <c r="B79" s="4" t="s">
        <v>130</v>
      </c>
      <c r="D79" s="15" t="s">
        <v>63</v>
      </c>
      <c r="F79" s="4">
        <v>197107</v>
      </c>
      <c r="H79" s="4">
        <v>82045</v>
      </c>
      <c r="J79" s="4">
        <v>37349</v>
      </c>
      <c r="L79" s="4">
        <v>33901</v>
      </c>
      <c r="N79" s="4">
        <v>0</v>
      </c>
      <c r="P79" s="4">
        <v>8540</v>
      </c>
      <c r="R79" s="4">
        <v>10446</v>
      </c>
      <c r="T79" s="4">
        <v>1654</v>
      </c>
      <c r="V79" s="4">
        <v>0</v>
      </c>
      <c r="X79" s="4">
        <v>0</v>
      </c>
      <c r="Z79" s="4">
        <v>0</v>
      </c>
      <c r="AB79" s="4">
        <v>0</v>
      </c>
      <c r="AD79" s="4">
        <v>0</v>
      </c>
      <c r="AF79" s="4">
        <f>SUM(F79:AD79)</f>
        <v>371042</v>
      </c>
    </row>
    <row r="80" spans="1:32" s="4" customFormat="1">
      <c r="A80" s="4">
        <v>232</v>
      </c>
      <c r="B80" s="4" t="s">
        <v>131</v>
      </c>
      <c r="D80" s="4" t="s">
        <v>26</v>
      </c>
      <c r="F80" s="4">
        <v>398907</v>
      </c>
      <c r="H80" s="4">
        <v>86476</v>
      </c>
      <c r="J80" s="4">
        <v>67459</v>
      </c>
      <c r="L80" s="4">
        <v>159684</v>
      </c>
      <c r="N80" s="4">
        <v>0</v>
      </c>
      <c r="P80" s="4">
        <v>14315</v>
      </c>
      <c r="R80" s="4">
        <v>7239</v>
      </c>
      <c r="T80" s="4">
        <v>11737</v>
      </c>
      <c r="V80" s="4">
        <v>0</v>
      </c>
      <c r="X80" s="4">
        <v>0</v>
      </c>
      <c r="Z80" s="4">
        <v>0</v>
      </c>
      <c r="AB80" s="4">
        <v>0</v>
      </c>
      <c r="AD80" s="4">
        <v>0</v>
      </c>
      <c r="AF80" s="4">
        <f>SUM(F80:AD80)</f>
        <v>745817</v>
      </c>
    </row>
    <row r="81" spans="1:32" s="4" customFormat="1">
      <c r="A81" s="4">
        <v>88</v>
      </c>
      <c r="B81" s="4" t="s">
        <v>336</v>
      </c>
      <c r="D81" s="4" t="s">
        <v>132</v>
      </c>
      <c r="F81" s="4">
        <v>595423</v>
      </c>
      <c r="H81" s="4">
        <v>193224</v>
      </c>
      <c r="J81" s="4">
        <v>132387</v>
      </c>
      <c r="L81" s="4">
        <v>213516</v>
      </c>
      <c r="N81" s="4">
        <v>0</v>
      </c>
      <c r="P81" s="4">
        <v>50688</v>
      </c>
      <c r="R81" s="4">
        <v>4770</v>
      </c>
      <c r="T81" s="4">
        <v>326011</v>
      </c>
      <c r="V81" s="4">
        <v>0</v>
      </c>
      <c r="X81" s="4">
        <v>0</v>
      </c>
      <c r="Z81" s="4">
        <v>561000</v>
      </c>
      <c r="AB81" s="4">
        <v>0</v>
      </c>
      <c r="AD81" s="4">
        <v>0</v>
      </c>
      <c r="AF81" s="4">
        <f>SUM(F81:AD81)</f>
        <v>2077019</v>
      </c>
    </row>
    <row r="82" spans="1:32" s="4" customFormat="1">
      <c r="A82" s="4">
        <v>138</v>
      </c>
      <c r="B82" s="4" t="s">
        <v>133</v>
      </c>
      <c r="D82" s="4" t="s">
        <v>87</v>
      </c>
      <c r="F82" s="4">
        <v>26442</v>
      </c>
      <c r="H82" s="4">
        <v>3994</v>
      </c>
      <c r="J82" s="4">
        <v>9776</v>
      </c>
      <c r="L82" s="4">
        <v>0</v>
      </c>
      <c r="N82" s="4">
        <v>0</v>
      </c>
      <c r="P82" s="4">
        <v>2519</v>
      </c>
      <c r="R82" s="4">
        <v>18963</v>
      </c>
      <c r="T82" s="4">
        <v>0</v>
      </c>
      <c r="V82" s="4">
        <v>0</v>
      </c>
      <c r="X82" s="4">
        <v>0</v>
      </c>
      <c r="Z82" s="4">
        <v>0</v>
      </c>
      <c r="AB82" s="4">
        <v>0</v>
      </c>
      <c r="AD82" s="4">
        <v>0</v>
      </c>
      <c r="AF82" s="4">
        <f>SUM(F82:AD82)</f>
        <v>61694</v>
      </c>
    </row>
    <row r="83" spans="1:32" s="4" customFormat="1">
      <c r="A83" s="4">
        <v>52</v>
      </c>
      <c r="B83" s="4" t="s">
        <v>456</v>
      </c>
      <c r="D83" s="4" t="s">
        <v>19</v>
      </c>
      <c r="F83" s="4">
        <v>1549097</v>
      </c>
      <c r="H83" s="4">
        <v>667661</v>
      </c>
      <c r="J83" s="4">
        <v>848627</v>
      </c>
      <c r="L83" s="4">
        <v>208656</v>
      </c>
      <c r="N83" s="4">
        <v>0</v>
      </c>
      <c r="P83" s="4">
        <v>95422</v>
      </c>
      <c r="R83" s="4">
        <v>66612</v>
      </c>
      <c r="T83" s="4">
        <v>106435</v>
      </c>
      <c r="V83" s="4">
        <v>0</v>
      </c>
      <c r="X83" s="4">
        <v>0</v>
      </c>
      <c r="Z83" s="4">
        <v>0</v>
      </c>
      <c r="AB83" s="4">
        <v>0</v>
      </c>
      <c r="AD83" s="4">
        <v>0</v>
      </c>
      <c r="AF83" s="4">
        <f>SUM(F83:AD83)</f>
        <v>3542510</v>
      </c>
    </row>
    <row r="84" spans="1:32" s="4" customFormat="1"/>
    <row r="85" spans="1:32" s="4" customFormat="1">
      <c r="AF85" s="47" t="s">
        <v>593</v>
      </c>
    </row>
    <row r="86" spans="1:32">
      <c r="B86" s="3" t="s">
        <v>526</v>
      </c>
    </row>
    <row r="87" spans="1:32">
      <c r="B87" s="3" t="s">
        <v>527</v>
      </c>
    </row>
    <row r="88" spans="1:32">
      <c r="B88" s="41" t="s">
        <v>7</v>
      </c>
    </row>
    <row r="90" spans="1:32" s="36" customFormat="1">
      <c r="B90" s="41"/>
      <c r="L90" s="36" t="s">
        <v>8</v>
      </c>
    </row>
    <row r="91" spans="1:32" s="36" customFormat="1">
      <c r="J91" s="36" t="s">
        <v>323</v>
      </c>
      <c r="L91" s="36" t="s">
        <v>557</v>
      </c>
      <c r="N91" s="36" t="s">
        <v>556</v>
      </c>
      <c r="X91" s="36" t="s">
        <v>330</v>
      </c>
      <c r="AD91" s="36" t="s">
        <v>0</v>
      </c>
    </row>
    <row r="92" spans="1:32" s="36" customFormat="1">
      <c r="H92" s="36" t="s">
        <v>321</v>
      </c>
      <c r="J92" s="36" t="s">
        <v>324</v>
      </c>
      <c r="L92" s="36" t="s">
        <v>325</v>
      </c>
      <c r="N92" s="36" t="s">
        <v>554</v>
      </c>
      <c r="T92" s="36" t="s">
        <v>30</v>
      </c>
      <c r="V92" s="36" t="s">
        <v>328</v>
      </c>
      <c r="X92" s="36" t="s">
        <v>331</v>
      </c>
      <c r="AD92" s="36" t="s">
        <v>296</v>
      </c>
    </row>
    <row r="93" spans="1:32" s="36" customFormat="1" ht="12" customHeight="1">
      <c r="A93" s="36" t="s">
        <v>580</v>
      </c>
      <c r="B93" s="37" t="s">
        <v>8</v>
      </c>
      <c r="C93" s="48"/>
      <c r="D93" s="37" t="s">
        <v>6</v>
      </c>
      <c r="E93" s="48"/>
      <c r="F93" s="37" t="s">
        <v>2</v>
      </c>
      <c r="G93" s="48"/>
      <c r="H93" s="37" t="s">
        <v>563</v>
      </c>
      <c r="I93" s="48"/>
      <c r="J93" s="37" t="s">
        <v>29</v>
      </c>
      <c r="K93" s="48"/>
      <c r="L93" s="37" t="s">
        <v>326</v>
      </c>
      <c r="M93" s="48"/>
      <c r="N93" s="37" t="s">
        <v>555</v>
      </c>
      <c r="O93" s="48"/>
      <c r="P93" s="37" t="s">
        <v>4</v>
      </c>
      <c r="Q93" s="48"/>
      <c r="R93" s="37" t="s">
        <v>0</v>
      </c>
      <c r="S93" s="48"/>
      <c r="T93" s="37" t="s">
        <v>327</v>
      </c>
      <c r="U93" s="48"/>
      <c r="V93" s="37" t="s">
        <v>329</v>
      </c>
      <c r="W93" s="48"/>
      <c r="X93" s="37" t="s">
        <v>332</v>
      </c>
      <c r="Y93" s="48"/>
      <c r="Z93" s="37" t="s">
        <v>506</v>
      </c>
      <c r="AA93" s="48"/>
      <c r="AB93" s="37" t="s">
        <v>507</v>
      </c>
      <c r="AC93" s="48"/>
      <c r="AD93" s="37" t="s">
        <v>333</v>
      </c>
      <c r="AE93" s="48"/>
      <c r="AF93" s="49" t="s">
        <v>28</v>
      </c>
    </row>
    <row r="94" spans="1:32" s="4" customFormat="1">
      <c r="A94" s="4">
        <v>39</v>
      </c>
      <c r="B94" s="3" t="s">
        <v>569</v>
      </c>
      <c r="C94" s="3"/>
      <c r="D94" s="3" t="s">
        <v>51</v>
      </c>
      <c r="E94" s="3"/>
      <c r="F94" s="7">
        <v>404356</v>
      </c>
      <c r="G94" s="7"/>
      <c r="H94" s="7">
        <v>191106</v>
      </c>
      <c r="I94" s="7"/>
      <c r="J94" s="7">
        <v>91677</v>
      </c>
      <c r="K94" s="7"/>
      <c r="L94" s="7">
        <v>112059</v>
      </c>
      <c r="M94" s="7"/>
      <c r="N94" s="7">
        <v>0</v>
      </c>
      <c r="O94" s="7"/>
      <c r="P94" s="7">
        <v>13544</v>
      </c>
      <c r="Q94" s="7"/>
      <c r="R94" s="7">
        <v>9557</v>
      </c>
      <c r="S94" s="7"/>
      <c r="T94" s="7">
        <v>0</v>
      </c>
      <c r="U94" s="7"/>
      <c r="V94" s="7">
        <v>0</v>
      </c>
      <c r="W94" s="7"/>
      <c r="X94" s="7">
        <v>0</v>
      </c>
      <c r="Y94" s="7"/>
      <c r="Z94" s="7">
        <v>0</v>
      </c>
      <c r="AA94" s="7"/>
      <c r="AB94" s="7">
        <v>0</v>
      </c>
      <c r="AC94" s="7"/>
      <c r="AD94" s="7">
        <v>0</v>
      </c>
      <c r="AE94" s="7"/>
      <c r="AF94" s="7">
        <f>SUM(F94:AD94)</f>
        <v>822299</v>
      </c>
    </row>
    <row r="95" spans="1:32" s="4" customFormat="1">
      <c r="A95" s="4">
        <v>40</v>
      </c>
      <c r="B95" s="4" t="s">
        <v>134</v>
      </c>
      <c r="D95" s="4" t="s">
        <v>51</v>
      </c>
      <c r="F95" s="4">
        <v>253431</v>
      </c>
      <c r="H95" s="4">
        <v>84762</v>
      </c>
      <c r="J95" s="4">
        <v>41456</v>
      </c>
      <c r="L95" s="4">
        <v>37573</v>
      </c>
      <c r="N95" s="4">
        <v>0</v>
      </c>
      <c r="P95" s="4">
        <v>13148</v>
      </c>
      <c r="R95" s="4">
        <v>452</v>
      </c>
      <c r="T95" s="4">
        <v>3440</v>
      </c>
      <c r="V95" s="4">
        <v>0</v>
      </c>
      <c r="X95" s="4">
        <v>0</v>
      </c>
      <c r="Z95" s="4">
        <v>0</v>
      </c>
      <c r="AB95" s="4">
        <v>0</v>
      </c>
      <c r="AD95" s="4">
        <v>1173</v>
      </c>
      <c r="AF95" s="4">
        <f>SUM(F95:AD95)</f>
        <v>435435</v>
      </c>
    </row>
    <row r="96" spans="1:32" s="4" customFormat="1">
      <c r="A96" s="4">
        <v>155</v>
      </c>
      <c r="B96" s="4" t="s">
        <v>429</v>
      </c>
      <c r="D96" s="4" t="s">
        <v>20</v>
      </c>
      <c r="F96" s="4">
        <f>659010+190359+534720</f>
        <v>1384089</v>
      </c>
      <c r="H96" s="4">
        <v>0</v>
      </c>
      <c r="J96" s="4">
        <v>0</v>
      </c>
      <c r="L96" s="4">
        <v>831708</v>
      </c>
      <c r="N96" s="4">
        <v>207664</v>
      </c>
      <c r="P96" s="4">
        <v>0</v>
      </c>
      <c r="R96" s="4">
        <v>0</v>
      </c>
      <c r="T96" s="4">
        <v>130161</v>
      </c>
      <c r="V96" s="4">
        <v>0</v>
      </c>
      <c r="X96" s="4">
        <v>0</v>
      </c>
      <c r="Z96" s="4">
        <v>189244</v>
      </c>
      <c r="AB96" s="4">
        <v>0</v>
      </c>
      <c r="AD96" s="4">
        <v>0</v>
      </c>
      <c r="AF96" s="4">
        <f>SUM(F96:AD96)</f>
        <v>2742866</v>
      </c>
    </row>
    <row r="97" spans="1:32" s="4" customFormat="1">
      <c r="A97" s="4">
        <v>142</v>
      </c>
      <c r="B97" s="4" t="s">
        <v>135</v>
      </c>
      <c r="D97" s="4" t="s">
        <v>57</v>
      </c>
      <c r="F97" s="4">
        <v>1865990</v>
      </c>
      <c r="H97" s="4">
        <v>545981</v>
      </c>
      <c r="J97" s="4">
        <v>581787</v>
      </c>
      <c r="L97" s="4">
        <v>811019</v>
      </c>
      <c r="N97" s="4">
        <v>0</v>
      </c>
      <c r="P97" s="4">
        <v>87651</v>
      </c>
      <c r="R97" s="4">
        <v>27221</v>
      </c>
      <c r="T97" s="4">
        <v>63798</v>
      </c>
      <c r="V97" s="4">
        <v>0</v>
      </c>
      <c r="X97" s="4">
        <v>0</v>
      </c>
      <c r="Z97" s="4">
        <f>63247+430000</f>
        <v>493247</v>
      </c>
      <c r="AB97" s="4">
        <v>0</v>
      </c>
      <c r="AD97" s="4">
        <v>0</v>
      </c>
      <c r="AF97" s="4">
        <f>SUM(F97:AD97)</f>
        <v>4476694</v>
      </c>
    </row>
    <row r="98" spans="1:32" s="4" customFormat="1">
      <c r="A98" s="4">
        <v>53</v>
      </c>
      <c r="B98" s="4" t="s">
        <v>18</v>
      </c>
      <c r="D98" s="4" t="s">
        <v>19</v>
      </c>
      <c r="F98" s="4">
        <f>772483+223110+1+1436600</f>
        <v>2432194</v>
      </c>
      <c r="H98" s="4">
        <v>0</v>
      </c>
      <c r="J98" s="4">
        <v>0</v>
      </c>
      <c r="L98" s="4">
        <v>2143589</v>
      </c>
      <c r="N98" s="4">
        <v>490259</v>
      </c>
      <c r="P98" s="4">
        <v>0</v>
      </c>
      <c r="R98" s="4">
        <v>0</v>
      </c>
      <c r="T98" s="4">
        <v>90407</v>
      </c>
      <c r="V98" s="4">
        <v>0</v>
      </c>
      <c r="X98" s="4">
        <v>0</v>
      </c>
      <c r="Z98" s="4">
        <v>0</v>
      </c>
      <c r="AB98" s="4">
        <v>0</v>
      </c>
      <c r="AD98" s="4">
        <v>0</v>
      </c>
      <c r="AF98" s="4">
        <f>SUM(F98:AD98)</f>
        <v>5156449</v>
      </c>
    </row>
    <row r="99" spans="1:32" s="4" customFormat="1">
      <c r="A99" s="4">
        <v>84</v>
      </c>
      <c r="B99" s="4" t="s">
        <v>136</v>
      </c>
      <c r="D99" s="4" t="s">
        <v>42</v>
      </c>
      <c r="F99" s="4">
        <v>141332</v>
      </c>
      <c r="H99" s="4">
        <v>36114</v>
      </c>
      <c r="J99" s="4">
        <v>48641</v>
      </c>
      <c r="L99" s="4">
        <v>37380</v>
      </c>
      <c r="N99" s="4">
        <v>0</v>
      </c>
      <c r="P99" s="4">
        <v>22653</v>
      </c>
      <c r="R99" s="4">
        <v>3510</v>
      </c>
      <c r="T99" s="4">
        <v>10260</v>
      </c>
      <c r="V99" s="4">
        <v>0</v>
      </c>
      <c r="X99" s="4">
        <v>0</v>
      </c>
      <c r="Z99" s="4">
        <v>0</v>
      </c>
      <c r="AB99" s="4">
        <v>0</v>
      </c>
      <c r="AD99" s="4">
        <v>0</v>
      </c>
      <c r="AF99" s="4">
        <f>SUM(F99:AD99)</f>
        <v>299890</v>
      </c>
    </row>
    <row r="100" spans="1:32" s="4" customFormat="1">
      <c r="A100" s="4">
        <v>70</v>
      </c>
      <c r="B100" s="4" t="s">
        <v>437</v>
      </c>
      <c r="D100" s="4" t="s">
        <v>67</v>
      </c>
      <c r="F100" s="4">
        <v>1833431</v>
      </c>
      <c r="H100" s="4">
        <v>519883</v>
      </c>
      <c r="J100" s="4">
        <v>773216</v>
      </c>
      <c r="L100" s="4">
        <v>571033</v>
      </c>
      <c r="N100" s="4">
        <v>0</v>
      </c>
      <c r="P100" s="4">
        <v>98348</v>
      </c>
      <c r="R100" s="4">
        <v>12677</v>
      </c>
      <c r="T100" s="4">
        <v>358505</v>
      </c>
      <c r="V100" s="4">
        <v>105798</v>
      </c>
      <c r="X100" s="4">
        <v>9030</v>
      </c>
      <c r="Z100" s="4">
        <v>114958</v>
      </c>
      <c r="AB100" s="4">
        <v>0</v>
      </c>
      <c r="AD100" s="4">
        <v>0</v>
      </c>
      <c r="AF100" s="4">
        <f>SUM(F100:AD100)</f>
        <v>4396879</v>
      </c>
    </row>
    <row r="101" spans="1:32" s="4" customFormat="1">
      <c r="A101" s="4">
        <v>123</v>
      </c>
      <c r="B101" s="4" t="s">
        <v>137</v>
      </c>
      <c r="D101" s="4" t="s">
        <v>15</v>
      </c>
      <c r="F101" s="4">
        <v>216616</v>
      </c>
      <c r="H101" s="4">
        <v>61050</v>
      </c>
      <c r="J101" s="4">
        <v>60761</v>
      </c>
      <c r="L101" s="4">
        <v>71577</v>
      </c>
      <c r="N101" s="4">
        <v>0</v>
      </c>
      <c r="P101" s="4">
        <v>10983</v>
      </c>
      <c r="R101" s="4">
        <v>1435</v>
      </c>
      <c r="T101" s="4">
        <f>925+272</f>
        <v>1197</v>
      </c>
      <c r="V101" s="4">
        <v>0</v>
      </c>
      <c r="X101" s="4">
        <v>0</v>
      </c>
      <c r="Z101" s="4">
        <v>0</v>
      </c>
      <c r="AB101" s="4">
        <v>0</v>
      </c>
      <c r="AD101" s="4">
        <v>0</v>
      </c>
      <c r="AF101" s="4">
        <f>SUM(F101:AD101)</f>
        <v>423619</v>
      </c>
    </row>
    <row r="102" spans="1:32" s="4" customFormat="1">
      <c r="A102" s="4">
        <v>93</v>
      </c>
      <c r="B102" s="4" t="s">
        <v>599</v>
      </c>
      <c r="D102" s="4" t="s">
        <v>139</v>
      </c>
      <c r="F102" s="4">
        <v>1269199</v>
      </c>
      <c r="H102" s="4">
        <v>435330</v>
      </c>
      <c r="J102" s="4">
        <v>364445</v>
      </c>
      <c r="L102" s="4">
        <v>304346</v>
      </c>
      <c r="N102" s="4">
        <v>0</v>
      </c>
      <c r="P102" s="4">
        <v>95108</v>
      </c>
      <c r="R102" s="4">
        <v>12250</v>
      </c>
      <c r="T102" s="4">
        <v>2000229</v>
      </c>
      <c r="V102" s="4">
        <v>195000</v>
      </c>
      <c r="X102" s="4">
        <v>34180</v>
      </c>
      <c r="Z102" s="4">
        <v>434706</v>
      </c>
      <c r="AB102" s="4">
        <v>1000000</v>
      </c>
      <c r="AD102" s="4">
        <v>0</v>
      </c>
      <c r="AF102" s="4">
        <f>SUM(F102:AD102)</f>
        <v>6144793</v>
      </c>
    </row>
    <row r="103" spans="1:32" s="4" customFormat="1">
      <c r="A103" s="4">
        <v>97</v>
      </c>
      <c r="B103" s="4" t="s">
        <v>140</v>
      </c>
      <c r="D103" s="4" t="s">
        <v>61</v>
      </c>
      <c r="F103" s="4">
        <v>50032</v>
      </c>
      <c r="H103" s="4">
        <v>13723</v>
      </c>
      <c r="J103" s="4">
        <v>23705</v>
      </c>
      <c r="L103" s="4">
        <v>22233</v>
      </c>
      <c r="N103" s="4">
        <v>0</v>
      </c>
      <c r="P103" s="4">
        <v>4374</v>
      </c>
      <c r="R103" s="4">
        <v>1818</v>
      </c>
      <c r="T103" s="4">
        <v>7456</v>
      </c>
      <c r="V103" s="4">
        <v>0</v>
      </c>
      <c r="X103" s="4">
        <v>0</v>
      </c>
      <c r="Z103" s="4">
        <v>0</v>
      </c>
      <c r="AB103" s="4">
        <v>0</v>
      </c>
      <c r="AD103" s="4">
        <v>0</v>
      </c>
      <c r="AF103" s="4">
        <f>SUM(F103:AD103)</f>
        <v>123341</v>
      </c>
    </row>
    <row r="104" spans="1:32" s="4" customFormat="1">
      <c r="A104" s="4">
        <v>159</v>
      </c>
      <c r="B104" s="4" t="s">
        <v>141</v>
      </c>
      <c r="D104" s="4" t="s">
        <v>50</v>
      </c>
      <c r="F104" s="4">
        <v>58848</v>
      </c>
      <c r="H104" s="4">
        <v>8906</v>
      </c>
      <c r="J104" s="4">
        <v>18436</v>
      </c>
      <c r="L104" s="4">
        <v>22816</v>
      </c>
      <c r="N104" s="4">
        <v>0</v>
      </c>
      <c r="P104" s="4">
        <v>11017</v>
      </c>
      <c r="R104" s="4">
        <v>1098</v>
      </c>
      <c r="T104" s="4">
        <v>915</v>
      </c>
      <c r="V104" s="4">
        <v>0</v>
      </c>
      <c r="X104" s="4">
        <v>0</v>
      </c>
      <c r="Z104" s="4">
        <v>0</v>
      </c>
      <c r="AB104" s="4">
        <v>0</v>
      </c>
      <c r="AD104" s="4">
        <v>0</v>
      </c>
      <c r="AF104" s="4">
        <f>SUM(F104:AD104)</f>
        <v>122036</v>
      </c>
    </row>
    <row r="105" spans="1:32" s="4" customFormat="1">
      <c r="A105" s="4">
        <v>240</v>
      </c>
      <c r="B105" s="4" t="s">
        <v>142</v>
      </c>
      <c r="D105" s="4" t="s">
        <v>54</v>
      </c>
      <c r="F105" s="4">
        <v>825164</v>
      </c>
      <c r="H105" s="4">
        <v>255248</v>
      </c>
      <c r="J105" s="4">
        <v>149057</v>
      </c>
      <c r="L105" s="4">
        <v>279652</v>
      </c>
      <c r="N105" s="4">
        <v>0</v>
      </c>
      <c r="P105" s="4">
        <v>41628</v>
      </c>
      <c r="R105" s="4">
        <v>15452</v>
      </c>
      <c r="T105" s="4">
        <v>16683</v>
      </c>
      <c r="V105" s="4">
        <v>0</v>
      </c>
      <c r="X105" s="4">
        <v>0</v>
      </c>
      <c r="Z105" s="4">
        <v>255370</v>
      </c>
      <c r="AB105" s="4">
        <v>0</v>
      </c>
      <c r="AD105" s="4">
        <v>2409</v>
      </c>
      <c r="AF105" s="4">
        <f>SUM(F105:AD105)</f>
        <v>1840663</v>
      </c>
    </row>
    <row r="106" spans="1:32" s="4" customFormat="1">
      <c r="A106" s="4">
        <v>48</v>
      </c>
      <c r="B106" s="4" t="s">
        <v>143</v>
      </c>
      <c r="D106" s="4" t="s">
        <v>52</v>
      </c>
      <c r="F106" s="4">
        <v>323471</v>
      </c>
      <c r="H106" s="4">
        <v>75878</v>
      </c>
      <c r="J106" s="4">
        <v>120935</v>
      </c>
      <c r="L106" s="4">
        <v>110191</v>
      </c>
      <c r="N106" s="4">
        <v>0</v>
      </c>
      <c r="P106" s="4">
        <v>14733</v>
      </c>
      <c r="R106" s="4">
        <v>2117</v>
      </c>
      <c r="T106" s="4">
        <v>5348</v>
      </c>
      <c r="V106" s="4">
        <v>0</v>
      </c>
      <c r="X106" s="4">
        <v>0</v>
      </c>
      <c r="Z106" s="4">
        <v>0</v>
      </c>
      <c r="AB106" s="4">
        <v>0</v>
      </c>
      <c r="AD106" s="4">
        <v>0</v>
      </c>
      <c r="AF106" s="4">
        <f>SUM(F106:AD106)</f>
        <v>652673</v>
      </c>
    </row>
    <row r="107" spans="1:32" s="4" customFormat="1">
      <c r="A107" s="4">
        <v>190</v>
      </c>
      <c r="B107" s="4" t="s">
        <v>144</v>
      </c>
      <c r="D107" s="4" t="s">
        <v>145</v>
      </c>
      <c r="F107" s="4">
        <v>539954</v>
      </c>
      <c r="H107" s="4">
        <v>186956</v>
      </c>
      <c r="J107" s="4">
        <v>154273</v>
      </c>
      <c r="L107" s="4">
        <v>150260</v>
      </c>
      <c r="N107" s="4">
        <v>0</v>
      </c>
      <c r="P107" s="4">
        <v>31106</v>
      </c>
      <c r="R107" s="4">
        <v>4788</v>
      </c>
      <c r="T107" s="4">
        <v>288034</v>
      </c>
      <c r="V107" s="4">
        <v>0</v>
      </c>
      <c r="X107" s="4">
        <v>0</v>
      </c>
      <c r="Z107" s="4">
        <v>0</v>
      </c>
      <c r="AB107" s="4">
        <v>0</v>
      </c>
      <c r="AD107" s="4">
        <v>0</v>
      </c>
      <c r="AF107" s="4">
        <f>SUM(F107:AD107)</f>
        <v>1355371</v>
      </c>
    </row>
    <row r="108" spans="1:32" s="4" customFormat="1">
      <c r="A108" s="4">
        <v>90</v>
      </c>
      <c r="B108" s="4" t="s">
        <v>146</v>
      </c>
      <c r="D108" s="4" t="s">
        <v>17</v>
      </c>
      <c r="F108" s="4">
        <v>3119917</v>
      </c>
      <c r="H108" s="4">
        <v>769343</v>
      </c>
      <c r="J108" s="4">
        <v>870321</v>
      </c>
      <c r="L108" s="4">
        <v>924083</v>
      </c>
      <c r="N108" s="4">
        <v>0</v>
      </c>
      <c r="P108" s="4">
        <v>182017</v>
      </c>
      <c r="R108" s="4">
        <v>17044</v>
      </c>
      <c r="T108" s="4">
        <v>253560</v>
      </c>
      <c r="V108" s="4">
        <v>110000</v>
      </c>
      <c r="X108" s="4">
        <v>16568</v>
      </c>
      <c r="Z108" s="4">
        <v>497923</v>
      </c>
      <c r="AB108" s="4">
        <v>0</v>
      </c>
      <c r="AD108" s="4">
        <v>0</v>
      </c>
      <c r="AF108" s="4">
        <f>SUM(F108:AD108)</f>
        <v>6760776</v>
      </c>
    </row>
    <row r="109" spans="1:32" s="4" customFormat="1">
      <c r="A109" s="4">
        <v>170</v>
      </c>
      <c r="B109" s="4" t="s">
        <v>147</v>
      </c>
      <c r="D109" s="4" t="s">
        <v>55</v>
      </c>
      <c r="F109" s="4">
        <v>435174</v>
      </c>
      <c r="H109" s="4">
        <v>118021</v>
      </c>
      <c r="J109" s="4">
        <v>120072</v>
      </c>
      <c r="L109" s="4">
        <v>72523</v>
      </c>
      <c r="N109" s="4">
        <v>0</v>
      </c>
      <c r="P109" s="4">
        <v>21843</v>
      </c>
      <c r="R109" s="4">
        <v>6175</v>
      </c>
      <c r="T109" s="4">
        <v>1345349</v>
      </c>
      <c r="V109" s="4">
        <v>58861</v>
      </c>
      <c r="X109" s="4">
        <v>31608</v>
      </c>
      <c r="Z109" s="4">
        <v>25000</v>
      </c>
      <c r="AB109" s="4">
        <v>0</v>
      </c>
      <c r="AD109" s="4">
        <v>0</v>
      </c>
      <c r="AF109" s="4">
        <f>SUM(F109:AD109)</f>
        <v>2234626</v>
      </c>
    </row>
    <row r="110" spans="1:32" s="4" customFormat="1">
      <c r="A110" s="4">
        <v>224</v>
      </c>
      <c r="B110" s="4" t="s">
        <v>34</v>
      </c>
      <c r="D110" s="4" t="s">
        <v>56</v>
      </c>
      <c r="F110" s="4">
        <v>443577</v>
      </c>
      <c r="H110" s="4">
        <v>168192</v>
      </c>
      <c r="J110" s="4">
        <v>90170</v>
      </c>
      <c r="L110" s="4">
        <v>105662</v>
      </c>
      <c r="N110" s="4">
        <v>0</v>
      </c>
      <c r="P110" s="4">
        <v>21444</v>
      </c>
      <c r="R110" s="4">
        <v>8598</v>
      </c>
      <c r="T110" s="4">
        <v>26096</v>
      </c>
      <c r="V110" s="4">
        <v>0</v>
      </c>
      <c r="X110" s="4">
        <v>0</v>
      </c>
      <c r="Z110" s="4">
        <v>0</v>
      </c>
      <c r="AB110" s="4">
        <v>0</v>
      </c>
      <c r="AD110" s="4">
        <v>0</v>
      </c>
      <c r="AF110" s="4">
        <f>SUM(F110:AD110)</f>
        <v>863739</v>
      </c>
    </row>
    <row r="111" spans="1:32" s="4" customFormat="1">
      <c r="A111" s="4">
        <v>143</v>
      </c>
      <c r="B111" s="4" t="s">
        <v>148</v>
      </c>
      <c r="D111" s="4" t="s">
        <v>57</v>
      </c>
      <c r="F111" s="4">
        <v>335009</v>
      </c>
      <c r="H111" s="4">
        <v>102534</v>
      </c>
      <c r="J111" s="4">
        <v>108355</v>
      </c>
      <c r="L111" s="4">
        <v>106137</v>
      </c>
      <c r="N111" s="4">
        <v>0</v>
      </c>
      <c r="P111" s="4">
        <v>10289</v>
      </c>
      <c r="R111" s="4">
        <v>3755</v>
      </c>
      <c r="T111" s="4">
        <v>36819</v>
      </c>
      <c r="V111" s="4">
        <v>0</v>
      </c>
      <c r="X111" s="4">
        <v>0</v>
      </c>
      <c r="Z111" s="4">
        <v>0</v>
      </c>
      <c r="AB111" s="4">
        <v>0</v>
      </c>
      <c r="AD111" s="4">
        <v>0</v>
      </c>
      <c r="AF111" s="4">
        <f>SUM(F111:AD111)</f>
        <v>702898</v>
      </c>
    </row>
    <row r="112" spans="1:32" s="4" customFormat="1">
      <c r="A112" s="4">
        <v>11</v>
      </c>
      <c r="B112" s="4" t="s">
        <v>304</v>
      </c>
      <c r="D112" s="4" t="s">
        <v>43</v>
      </c>
      <c r="F112" s="4">
        <v>103109</v>
      </c>
      <c r="H112" s="4">
        <v>16167</v>
      </c>
      <c r="J112" s="4">
        <v>37662</v>
      </c>
      <c r="L112" s="4">
        <v>28170</v>
      </c>
      <c r="N112" s="4">
        <v>0</v>
      </c>
      <c r="P112" s="4">
        <v>8971</v>
      </c>
      <c r="R112" s="4">
        <v>6857</v>
      </c>
      <c r="T112" s="4">
        <v>3355</v>
      </c>
      <c r="V112" s="4">
        <v>0</v>
      </c>
      <c r="X112" s="4">
        <v>0</v>
      </c>
      <c r="Z112" s="4">
        <v>0</v>
      </c>
      <c r="AB112" s="4">
        <v>0</v>
      </c>
      <c r="AD112" s="4">
        <v>2479</v>
      </c>
      <c r="AF112" s="4">
        <f>SUM(F112:AD112)</f>
        <v>206770</v>
      </c>
    </row>
    <row r="113" spans="1:32" s="4" customFormat="1">
      <c r="A113" s="4">
        <v>77</v>
      </c>
      <c r="B113" s="4" t="s">
        <v>149</v>
      </c>
      <c r="D113" s="4" t="s">
        <v>92</v>
      </c>
      <c r="F113" s="4">
        <v>1360850</v>
      </c>
      <c r="H113" s="4">
        <v>498729</v>
      </c>
      <c r="J113" s="4">
        <v>511358</v>
      </c>
      <c r="L113" s="4">
        <v>306592</v>
      </c>
      <c r="N113" s="4">
        <v>0</v>
      </c>
      <c r="P113" s="4">
        <v>59207</v>
      </c>
      <c r="R113" s="4">
        <v>9484</v>
      </c>
      <c r="T113" s="4">
        <v>198115</v>
      </c>
      <c r="V113" s="4">
        <v>36000</v>
      </c>
      <c r="X113" s="4">
        <v>5150</v>
      </c>
      <c r="Z113" s="4">
        <v>200000</v>
      </c>
      <c r="AB113" s="4">
        <v>0</v>
      </c>
      <c r="AD113" s="4">
        <v>0</v>
      </c>
      <c r="AF113" s="4">
        <f>SUM(F113:AD113)</f>
        <v>3185485</v>
      </c>
    </row>
    <row r="114" spans="1:32" s="4" customFormat="1">
      <c r="A114" s="4">
        <v>132</v>
      </c>
      <c r="B114" s="4" t="s">
        <v>150</v>
      </c>
      <c r="D114" s="4" t="s">
        <v>41</v>
      </c>
      <c r="F114" s="4">
        <v>456037</v>
      </c>
      <c r="H114" s="4">
        <v>136771</v>
      </c>
      <c r="J114" s="4">
        <v>136680</v>
      </c>
      <c r="L114" s="4">
        <v>108839</v>
      </c>
      <c r="N114" s="4">
        <v>0</v>
      </c>
      <c r="P114" s="4">
        <v>10546</v>
      </c>
      <c r="R114" s="4">
        <v>2771</v>
      </c>
      <c r="T114" s="4">
        <v>831868</v>
      </c>
      <c r="V114" s="4">
        <v>0</v>
      </c>
      <c r="X114" s="4">
        <v>0</v>
      </c>
      <c r="Z114" s="4">
        <v>1045000</v>
      </c>
      <c r="AB114" s="4">
        <v>0</v>
      </c>
      <c r="AD114" s="4">
        <v>0</v>
      </c>
      <c r="AF114" s="4">
        <f>SUM(F114:AD114)</f>
        <v>2728512</v>
      </c>
    </row>
    <row r="115" spans="1:32" s="4" customFormat="1">
      <c r="A115" s="4">
        <v>91</v>
      </c>
      <c r="B115" s="4" t="s">
        <v>600</v>
      </c>
      <c r="D115" s="4" t="s">
        <v>152</v>
      </c>
      <c r="F115" s="4">
        <f>1471826+373563+647511</f>
        <v>2492900</v>
      </c>
      <c r="H115" s="4">
        <v>0</v>
      </c>
      <c r="J115" s="4">
        <v>0</v>
      </c>
      <c r="L115" s="4">
        <f>3683358+1766245</f>
        <v>5449603</v>
      </c>
      <c r="N115" s="4">
        <v>619880</v>
      </c>
      <c r="P115" s="4">
        <v>0</v>
      </c>
      <c r="R115" s="4">
        <v>0</v>
      </c>
      <c r="T115" s="4">
        <v>626042</v>
      </c>
      <c r="V115" s="4">
        <v>0</v>
      </c>
      <c r="X115" s="4">
        <v>0</v>
      </c>
      <c r="Z115" s="4">
        <v>650000</v>
      </c>
      <c r="AB115" s="4">
        <v>0</v>
      </c>
      <c r="AD115" s="4">
        <v>0</v>
      </c>
      <c r="AF115" s="4">
        <f>SUM(F115:AD115)</f>
        <v>9838425</v>
      </c>
    </row>
    <row r="116" spans="1:32" s="4" customFormat="1">
      <c r="A116" s="4">
        <v>59</v>
      </c>
      <c r="B116" s="4" t="s">
        <v>153</v>
      </c>
      <c r="D116" s="4" t="s">
        <v>81</v>
      </c>
      <c r="F116" s="4">
        <v>499452</v>
      </c>
      <c r="H116" s="4">
        <v>64100</v>
      </c>
      <c r="J116" s="4">
        <v>92965</v>
      </c>
      <c r="L116" s="4">
        <v>100153</v>
      </c>
      <c r="N116" s="4">
        <v>0</v>
      </c>
      <c r="P116" s="4">
        <v>27500</v>
      </c>
      <c r="R116" s="4">
        <v>5571</v>
      </c>
      <c r="T116" s="4">
        <v>1126330</v>
      </c>
      <c r="V116" s="4">
        <v>0</v>
      </c>
      <c r="X116" s="4">
        <v>90000</v>
      </c>
      <c r="Z116" s="4">
        <v>50251</v>
      </c>
      <c r="AB116" s="4">
        <v>0</v>
      </c>
      <c r="AD116" s="4">
        <v>4961</v>
      </c>
      <c r="AF116" s="4">
        <f>SUM(F116:AD116)</f>
        <v>2061283</v>
      </c>
    </row>
    <row r="117" spans="1:32" s="4" customFormat="1">
      <c r="A117" s="4">
        <v>92</v>
      </c>
      <c r="B117" s="4" t="s">
        <v>601</v>
      </c>
      <c r="D117" s="4" t="s">
        <v>154</v>
      </c>
      <c r="F117" s="4">
        <v>816553</v>
      </c>
      <c r="H117" s="4">
        <v>332581</v>
      </c>
      <c r="J117" s="4">
        <v>224337</v>
      </c>
      <c r="L117" s="4">
        <v>330297</v>
      </c>
      <c r="N117" s="4">
        <v>0</v>
      </c>
      <c r="P117" s="4">
        <v>44385</v>
      </c>
      <c r="R117" s="4">
        <v>8286</v>
      </c>
      <c r="T117" s="4">
        <v>10521</v>
      </c>
      <c r="V117" s="4">
        <v>0</v>
      </c>
      <c r="X117" s="4">
        <v>0</v>
      </c>
      <c r="Z117" s="4">
        <v>0</v>
      </c>
      <c r="AB117" s="4">
        <v>0</v>
      </c>
      <c r="AD117" s="4">
        <v>0</v>
      </c>
      <c r="AF117" s="4">
        <f>SUM(F117:AD117)</f>
        <v>1766960</v>
      </c>
    </row>
    <row r="118" spans="1:32" s="4" customFormat="1">
      <c r="A118" s="4">
        <v>12</v>
      </c>
      <c r="B118" s="4" t="s">
        <v>155</v>
      </c>
      <c r="D118" s="4" t="s">
        <v>43</v>
      </c>
      <c r="F118" s="4">
        <v>241786</v>
      </c>
      <c r="H118" s="4">
        <v>61315</v>
      </c>
      <c r="J118" s="4">
        <v>90053</v>
      </c>
      <c r="L118" s="4">
        <v>44911</v>
      </c>
      <c r="N118" s="4">
        <v>0</v>
      </c>
      <c r="P118" s="4">
        <v>15223</v>
      </c>
      <c r="R118" s="4">
        <v>3253</v>
      </c>
      <c r="T118" s="4">
        <v>4057</v>
      </c>
      <c r="V118" s="4">
        <v>44056</v>
      </c>
      <c r="X118" s="4">
        <v>48568</v>
      </c>
      <c r="Z118" s="4">
        <v>97624</v>
      </c>
      <c r="AB118" s="4">
        <v>0</v>
      </c>
      <c r="AD118" s="4">
        <v>0</v>
      </c>
      <c r="AF118" s="4">
        <f>SUM(F118:AD118)</f>
        <v>650846</v>
      </c>
    </row>
    <row r="119" spans="1:32" s="4" customFormat="1">
      <c r="A119" s="4">
        <v>98</v>
      </c>
      <c r="B119" s="4" t="s">
        <v>156</v>
      </c>
      <c r="D119" s="4" t="s">
        <v>61</v>
      </c>
      <c r="F119" s="4">
        <v>36281</v>
      </c>
      <c r="H119" s="4">
        <v>5573</v>
      </c>
      <c r="J119" s="4">
        <v>26709</v>
      </c>
      <c r="L119" s="4">
        <f>15412</f>
        <v>15412</v>
      </c>
      <c r="N119" s="4">
        <v>0</v>
      </c>
      <c r="P119" s="4">
        <v>2724</v>
      </c>
      <c r="R119" s="4">
        <v>75</v>
      </c>
      <c r="T119" s="4">
        <v>11624</v>
      </c>
      <c r="V119" s="4">
        <v>0</v>
      </c>
      <c r="X119" s="4">
        <v>0</v>
      </c>
      <c r="Z119" s="4">
        <v>0</v>
      </c>
      <c r="AB119" s="4">
        <v>0</v>
      </c>
      <c r="AD119" s="4">
        <v>0</v>
      </c>
      <c r="AF119" s="4">
        <f>SUM(F119:AD119)</f>
        <v>98398</v>
      </c>
    </row>
    <row r="120" spans="1:32" s="4" customFormat="1">
      <c r="A120" s="4">
        <v>181</v>
      </c>
      <c r="B120" s="4" t="s">
        <v>157</v>
      </c>
      <c r="D120" s="4" t="s">
        <v>158</v>
      </c>
      <c r="F120" s="4">
        <v>286201</v>
      </c>
      <c r="H120" s="4">
        <v>61027</v>
      </c>
      <c r="J120" s="4">
        <v>83468</v>
      </c>
      <c r="L120" s="4">
        <v>64214</v>
      </c>
      <c r="N120" s="4">
        <v>0</v>
      </c>
      <c r="P120" s="4">
        <v>20029</v>
      </c>
      <c r="R120" s="4">
        <v>16689</v>
      </c>
      <c r="T120" s="4">
        <v>3063</v>
      </c>
      <c r="V120" s="4">
        <v>0</v>
      </c>
      <c r="X120" s="4">
        <v>0</v>
      </c>
      <c r="Z120" s="4">
        <v>30000</v>
      </c>
      <c r="AB120" s="4">
        <v>0</v>
      </c>
      <c r="AD120" s="4">
        <v>0</v>
      </c>
      <c r="AF120" s="4">
        <f>SUM(F120:AD120)</f>
        <v>564691</v>
      </c>
    </row>
    <row r="121" spans="1:32" s="4" customFormat="1">
      <c r="A121" s="4">
        <v>13</v>
      </c>
      <c r="B121" s="4" t="s">
        <v>305</v>
      </c>
      <c r="D121" s="4" t="s">
        <v>43</v>
      </c>
      <c r="F121" s="4">
        <v>201718</v>
      </c>
      <c r="H121" s="4">
        <v>52179</v>
      </c>
      <c r="J121" s="4">
        <v>75830</v>
      </c>
      <c r="L121" s="4">
        <v>77067</v>
      </c>
      <c r="N121" s="4">
        <v>0</v>
      </c>
      <c r="P121" s="4">
        <v>9794</v>
      </c>
      <c r="R121" s="4">
        <v>4605</v>
      </c>
      <c r="T121" s="4">
        <v>12072</v>
      </c>
      <c r="V121" s="4">
        <v>0</v>
      </c>
      <c r="X121" s="4">
        <v>0</v>
      </c>
      <c r="Z121" s="4">
        <v>2500</v>
      </c>
      <c r="AB121" s="4">
        <v>0</v>
      </c>
      <c r="AD121" s="4">
        <v>0</v>
      </c>
      <c r="AF121" s="4">
        <f>SUM(F121:AD121)</f>
        <v>435765</v>
      </c>
    </row>
    <row r="122" spans="1:32" s="4" customFormat="1">
      <c r="A122" s="4">
        <v>239</v>
      </c>
      <c r="B122" s="4" t="s">
        <v>159</v>
      </c>
      <c r="D122" s="4" t="s">
        <v>160</v>
      </c>
      <c r="F122" s="4">
        <v>225554</v>
      </c>
      <c r="H122" s="4">
        <v>74907</v>
      </c>
      <c r="J122" s="4">
        <v>52373</v>
      </c>
      <c r="L122" s="4">
        <v>54129</v>
      </c>
      <c r="N122" s="4">
        <v>0</v>
      </c>
      <c r="P122" s="4">
        <v>18108</v>
      </c>
      <c r="R122" s="4">
        <v>1970</v>
      </c>
      <c r="T122" s="4">
        <v>132968</v>
      </c>
      <c r="V122" s="4">
        <v>0</v>
      </c>
      <c r="X122" s="4">
        <v>0</v>
      </c>
      <c r="Z122" s="4">
        <v>200000</v>
      </c>
      <c r="AB122" s="4">
        <v>0</v>
      </c>
      <c r="AD122" s="4">
        <v>0</v>
      </c>
      <c r="AF122" s="4">
        <f>SUM(F122:AD122)</f>
        <v>760009</v>
      </c>
    </row>
    <row r="123" spans="1:32" s="4" customFormat="1">
      <c r="A123" s="4">
        <v>144</v>
      </c>
      <c r="B123" s="4" t="s">
        <v>458</v>
      </c>
      <c r="D123" s="4" t="s">
        <v>57</v>
      </c>
      <c r="F123" s="4">
        <v>249085</v>
      </c>
      <c r="H123" s="4">
        <v>75175</v>
      </c>
      <c r="J123" s="4">
        <v>76219</v>
      </c>
      <c r="L123" s="4">
        <v>61756</v>
      </c>
      <c r="N123" s="4">
        <v>0</v>
      </c>
      <c r="P123" s="4">
        <v>9080</v>
      </c>
      <c r="R123" s="4">
        <v>1965</v>
      </c>
      <c r="T123" s="4">
        <v>21337</v>
      </c>
      <c r="V123" s="4">
        <v>0</v>
      </c>
      <c r="X123" s="4">
        <v>0</v>
      </c>
      <c r="Z123" s="4">
        <v>21740</v>
      </c>
      <c r="AB123" s="4">
        <v>0</v>
      </c>
      <c r="AD123" s="4">
        <v>0</v>
      </c>
      <c r="AF123" s="4">
        <f>SUM(F123:AD123)</f>
        <v>516357</v>
      </c>
    </row>
    <row r="124" spans="1:32" s="4" customFormat="1">
      <c r="A124" s="4">
        <v>107</v>
      </c>
      <c r="B124" s="4" t="s">
        <v>619</v>
      </c>
      <c r="D124" s="4" t="s">
        <v>58</v>
      </c>
      <c r="F124" s="4">
        <v>705020</v>
      </c>
      <c r="H124" s="4">
        <v>185629</v>
      </c>
      <c r="J124" s="4">
        <v>296146</v>
      </c>
      <c r="L124" s="4">
        <v>220418</v>
      </c>
      <c r="N124" s="4">
        <v>0</v>
      </c>
      <c r="P124" s="4">
        <v>22684</v>
      </c>
      <c r="R124" s="4">
        <v>11124</v>
      </c>
      <c r="T124" s="4">
        <v>40832</v>
      </c>
      <c r="V124" s="4">
        <v>0</v>
      </c>
      <c r="X124" s="4">
        <v>0</v>
      </c>
      <c r="Z124" s="4">
        <v>165</v>
      </c>
      <c r="AB124" s="4">
        <v>0</v>
      </c>
      <c r="AD124" s="4">
        <v>0</v>
      </c>
      <c r="AF124" s="4">
        <f>SUM(F124:AD124)</f>
        <v>1482018</v>
      </c>
    </row>
    <row r="125" spans="1:32" s="4" customFormat="1">
      <c r="A125" s="4">
        <v>103</v>
      </c>
      <c r="B125" s="4" t="s">
        <v>162</v>
      </c>
      <c r="D125" s="4" t="s">
        <v>60</v>
      </c>
      <c r="F125" s="4">
        <v>65487</v>
      </c>
      <c r="H125" s="4">
        <v>10049</v>
      </c>
      <c r="J125" s="4">
        <v>18772</v>
      </c>
      <c r="L125" s="4">
        <v>37438</v>
      </c>
      <c r="N125" s="4">
        <v>0</v>
      </c>
      <c r="P125" s="4">
        <v>7072</v>
      </c>
      <c r="R125" s="4">
        <v>15396</v>
      </c>
      <c r="T125" s="4">
        <v>0</v>
      </c>
      <c r="V125" s="4">
        <v>0</v>
      </c>
      <c r="X125" s="4">
        <v>0</v>
      </c>
      <c r="Z125" s="4">
        <v>0</v>
      </c>
      <c r="AB125" s="4">
        <v>0</v>
      </c>
      <c r="AD125" s="4">
        <v>0</v>
      </c>
      <c r="AF125" s="4">
        <f>SUM(F125:AD125)</f>
        <v>154214</v>
      </c>
    </row>
    <row r="126" spans="1:32" s="4" customFormat="1">
      <c r="A126" s="4">
        <v>109</v>
      </c>
      <c r="B126" s="4" t="s">
        <v>602</v>
      </c>
      <c r="D126" s="4" t="s">
        <v>163</v>
      </c>
      <c r="F126" s="4">
        <v>746843</v>
      </c>
      <c r="H126" s="4">
        <v>199252</v>
      </c>
      <c r="J126" s="4">
        <v>250166</v>
      </c>
      <c r="L126" s="4">
        <v>184923</v>
      </c>
      <c r="N126" s="4">
        <v>0</v>
      </c>
      <c r="P126" s="4">
        <v>45742</v>
      </c>
      <c r="R126" s="4">
        <v>8808</v>
      </c>
      <c r="T126" s="4">
        <v>80584</v>
      </c>
      <c r="V126" s="4">
        <v>0</v>
      </c>
      <c r="X126" s="4">
        <v>0</v>
      </c>
      <c r="Z126" s="4">
        <v>25000</v>
      </c>
      <c r="AB126" s="4">
        <v>0</v>
      </c>
      <c r="AD126" s="4">
        <v>0</v>
      </c>
      <c r="AF126" s="4">
        <f>SUM(F126:AD126)</f>
        <v>1541318</v>
      </c>
    </row>
    <row r="127" spans="1:32" s="4" customFormat="1">
      <c r="A127" s="4">
        <v>133</v>
      </c>
      <c r="B127" s="4" t="s">
        <v>306</v>
      </c>
      <c r="D127" s="4" t="s">
        <v>41</v>
      </c>
      <c r="F127" s="4">
        <v>127014</v>
      </c>
      <c r="H127" s="4">
        <v>21393</v>
      </c>
      <c r="J127" s="4">
        <v>34372</v>
      </c>
      <c r="L127" s="4">
        <v>32654</v>
      </c>
      <c r="N127" s="4">
        <v>0</v>
      </c>
      <c r="P127" s="4">
        <v>5939</v>
      </c>
      <c r="R127" s="4">
        <v>780</v>
      </c>
      <c r="T127" s="4">
        <v>16548</v>
      </c>
      <c r="V127" s="4">
        <v>0</v>
      </c>
      <c r="X127" s="4">
        <v>0</v>
      </c>
      <c r="Z127" s="4">
        <v>0</v>
      </c>
      <c r="AB127" s="4">
        <v>0</v>
      </c>
      <c r="AD127" s="4">
        <v>0</v>
      </c>
      <c r="AF127" s="4">
        <f>SUM(F127:AD127)</f>
        <v>238700</v>
      </c>
    </row>
    <row r="128" spans="1:32" s="4" customFormat="1">
      <c r="A128" s="4">
        <v>225</v>
      </c>
      <c r="B128" s="4" t="s">
        <v>459</v>
      </c>
      <c r="D128" s="4" t="s">
        <v>56</v>
      </c>
      <c r="F128" s="4">
        <v>483596</v>
      </c>
      <c r="H128" s="4">
        <v>165823</v>
      </c>
      <c r="J128" s="4">
        <v>98172</v>
      </c>
      <c r="L128" s="4">
        <v>113128</v>
      </c>
      <c r="N128" s="4">
        <v>0</v>
      </c>
      <c r="P128" s="4">
        <v>22662</v>
      </c>
      <c r="R128" s="4">
        <v>2255</v>
      </c>
      <c r="T128" s="4">
        <v>27008</v>
      </c>
      <c r="V128" s="4">
        <v>0</v>
      </c>
      <c r="X128" s="4">
        <v>0</v>
      </c>
      <c r="Z128" s="4">
        <v>0</v>
      </c>
      <c r="AB128" s="4">
        <v>0</v>
      </c>
      <c r="AD128" s="4">
        <v>0</v>
      </c>
      <c r="AF128" s="4">
        <f>SUM(F128:AD128)</f>
        <v>912644</v>
      </c>
    </row>
    <row r="129" spans="1:32" s="4" customFormat="1">
      <c r="A129" s="4">
        <v>218</v>
      </c>
      <c r="B129" s="4" t="s">
        <v>337</v>
      </c>
      <c r="D129" s="4" t="s">
        <v>22</v>
      </c>
      <c r="F129" s="4">
        <v>1143555</v>
      </c>
      <c r="H129" s="4">
        <v>288725</v>
      </c>
      <c r="J129" s="4">
        <v>428663</v>
      </c>
      <c r="L129" s="4">
        <v>293462</v>
      </c>
      <c r="N129" s="4">
        <v>0</v>
      </c>
      <c r="P129" s="4">
        <v>48559</v>
      </c>
      <c r="R129" s="4">
        <v>2988</v>
      </c>
      <c r="T129" s="4">
        <v>127917</v>
      </c>
      <c r="V129" s="4">
        <v>0</v>
      </c>
      <c r="X129" s="4">
        <v>0</v>
      </c>
      <c r="Z129" s="4">
        <v>90000</v>
      </c>
      <c r="AB129" s="4">
        <v>0</v>
      </c>
      <c r="AD129" s="4">
        <v>0</v>
      </c>
      <c r="AF129" s="4">
        <f>SUM(F129:AD129)</f>
        <v>2423869</v>
      </c>
    </row>
    <row r="130" spans="1:32" s="4" customFormat="1">
      <c r="A130" s="4">
        <v>66</v>
      </c>
      <c r="B130" s="4" t="s">
        <v>166</v>
      </c>
      <c r="D130" s="4" t="s">
        <v>167</v>
      </c>
      <c r="F130" s="4">
        <v>412914</v>
      </c>
      <c r="H130" s="4">
        <v>123653</v>
      </c>
      <c r="J130" s="4">
        <v>183788</v>
      </c>
      <c r="L130" s="4">
        <v>65538</v>
      </c>
      <c r="N130" s="4">
        <v>0</v>
      </c>
      <c r="P130" s="4">
        <v>21458</v>
      </c>
      <c r="R130" s="4">
        <v>2722</v>
      </c>
      <c r="T130" s="4">
        <v>13377</v>
      </c>
      <c r="V130" s="4">
        <v>0</v>
      </c>
      <c r="X130" s="4">
        <v>0</v>
      </c>
      <c r="Z130" s="4">
        <v>0</v>
      </c>
      <c r="AB130" s="4">
        <v>0</v>
      </c>
      <c r="AD130" s="4">
        <v>0</v>
      </c>
      <c r="AF130" s="4">
        <f>SUM(F130:AD130)</f>
        <v>823450</v>
      </c>
    </row>
    <row r="131" spans="1:32" s="4" customFormat="1">
      <c r="A131" s="4">
        <v>148</v>
      </c>
      <c r="B131" s="4" t="s">
        <v>37</v>
      </c>
      <c r="D131" s="4" t="s">
        <v>12</v>
      </c>
      <c r="F131" s="4">
        <v>214274</v>
      </c>
      <c r="H131" s="4">
        <v>32453</v>
      </c>
      <c r="J131" s="4">
        <v>56470</v>
      </c>
      <c r="L131" s="4">
        <v>56761</v>
      </c>
      <c r="N131" s="4">
        <v>0</v>
      </c>
      <c r="P131" s="4">
        <v>6114</v>
      </c>
      <c r="R131" s="4">
        <v>2699</v>
      </c>
      <c r="T131" s="4">
        <v>406</v>
      </c>
      <c r="V131" s="4">
        <v>30000</v>
      </c>
      <c r="X131" s="4">
        <v>53593</v>
      </c>
      <c r="Z131" s="4">
        <v>0</v>
      </c>
      <c r="AB131" s="4">
        <v>0</v>
      </c>
      <c r="AD131" s="4">
        <v>0</v>
      </c>
      <c r="AF131" s="4">
        <f>SUM(F131:AD131)</f>
        <v>452770</v>
      </c>
    </row>
    <row r="132" spans="1:32" s="4" customFormat="1">
      <c r="A132" s="4">
        <v>182</v>
      </c>
      <c r="B132" s="4" t="s">
        <v>168</v>
      </c>
      <c r="D132" s="4" t="s">
        <v>158</v>
      </c>
      <c r="F132" s="4">
        <v>424752</v>
      </c>
      <c r="H132" s="4">
        <v>111792</v>
      </c>
      <c r="J132" s="4">
        <f>110570+25</f>
        <v>110595</v>
      </c>
      <c r="L132" s="4">
        <v>186215</v>
      </c>
      <c r="N132" s="4">
        <v>0</v>
      </c>
      <c r="P132" s="4">
        <v>18234</v>
      </c>
      <c r="R132" s="4">
        <v>4902</v>
      </c>
      <c r="T132" s="4">
        <v>12593</v>
      </c>
      <c r="V132" s="4">
        <v>0</v>
      </c>
      <c r="X132" s="4">
        <v>0</v>
      </c>
      <c r="Z132" s="4">
        <v>0</v>
      </c>
      <c r="AB132" s="4">
        <v>0</v>
      </c>
      <c r="AD132" s="4">
        <v>0</v>
      </c>
      <c r="AF132" s="4">
        <f>SUM(F132:AD132)</f>
        <v>869083</v>
      </c>
    </row>
    <row r="133" spans="1:32" s="4" customFormat="1">
      <c r="A133" s="4">
        <v>164</v>
      </c>
      <c r="B133" s="4" t="s">
        <v>339</v>
      </c>
      <c r="D133" s="4" t="s">
        <v>53</v>
      </c>
      <c r="F133" s="4">
        <v>142537</v>
      </c>
      <c r="H133" s="4">
        <v>21843</v>
      </c>
      <c r="J133" s="4">
        <v>34805</v>
      </c>
      <c r="L133" s="4">
        <v>35231</v>
      </c>
      <c r="N133" s="4">
        <v>0</v>
      </c>
      <c r="P133" s="4">
        <v>5020</v>
      </c>
      <c r="R133" s="4">
        <v>862</v>
      </c>
      <c r="T133" s="4">
        <v>51600</v>
      </c>
      <c r="V133" s="4">
        <v>0</v>
      </c>
      <c r="X133" s="4">
        <v>0</v>
      </c>
      <c r="Z133" s="4">
        <v>0</v>
      </c>
      <c r="AB133" s="4">
        <v>0</v>
      </c>
      <c r="AD133" s="4">
        <v>0</v>
      </c>
      <c r="AF133" s="4">
        <f>SUM(F133:AD133)</f>
        <v>291898</v>
      </c>
    </row>
    <row r="134" spans="1:32" s="4" customFormat="1">
      <c r="A134" s="4">
        <v>115</v>
      </c>
      <c r="B134" s="4" t="s">
        <v>169</v>
      </c>
      <c r="D134" s="4" t="s">
        <v>170</v>
      </c>
      <c r="F134" s="4">
        <v>244107</v>
      </c>
      <c r="H134" s="4">
        <v>120674</v>
      </c>
      <c r="J134" s="4">
        <v>59767</v>
      </c>
      <c r="L134" s="4">
        <v>66580</v>
      </c>
      <c r="N134" s="4">
        <v>0</v>
      </c>
      <c r="P134" s="4">
        <v>15782</v>
      </c>
      <c r="R134" s="4">
        <v>1330</v>
      </c>
      <c r="T134" s="4">
        <v>14651</v>
      </c>
      <c r="V134" s="4">
        <v>0</v>
      </c>
      <c r="X134" s="4">
        <v>0</v>
      </c>
      <c r="Z134" s="4">
        <v>0</v>
      </c>
      <c r="AB134" s="4">
        <v>0</v>
      </c>
      <c r="AD134" s="4">
        <v>0</v>
      </c>
      <c r="AF134" s="4">
        <f>SUM(F134:AD134)</f>
        <v>522891</v>
      </c>
    </row>
    <row r="135" spans="1:32" s="4" customFormat="1">
      <c r="A135" s="4">
        <v>173</v>
      </c>
      <c r="B135" s="4" t="s">
        <v>338</v>
      </c>
      <c r="D135" s="4" t="s">
        <v>59</v>
      </c>
      <c r="F135" s="4">
        <v>292682</v>
      </c>
      <c r="H135" s="4">
        <v>95675</v>
      </c>
      <c r="J135" s="4">
        <v>104381</v>
      </c>
      <c r="L135" s="4">
        <v>47301</v>
      </c>
      <c r="N135" s="4">
        <v>0</v>
      </c>
      <c r="P135" s="4">
        <v>19121</v>
      </c>
      <c r="R135" s="4">
        <v>3336</v>
      </c>
      <c r="T135" s="4">
        <v>4487</v>
      </c>
      <c r="V135" s="4">
        <v>0</v>
      </c>
      <c r="X135" s="4">
        <v>0</v>
      </c>
      <c r="Z135" s="4">
        <v>0</v>
      </c>
      <c r="AB135" s="4">
        <v>0</v>
      </c>
      <c r="AD135" s="4">
        <v>0</v>
      </c>
      <c r="AF135" s="4">
        <f>SUM(F135:AD135)</f>
        <v>566983</v>
      </c>
    </row>
    <row r="136" spans="1:32" s="4" customFormat="1">
      <c r="A136" s="4">
        <v>205</v>
      </c>
      <c r="B136" s="4" t="s">
        <v>171</v>
      </c>
      <c r="D136" s="4" t="s">
        <v>45</v>
      </c>
      <c r="F136" s="4">
        <v>538091</v>
      </c>
      <c r="J136" s="4">
        <v>58162</v>
      </c>
      <c r="L136" s="4">
        <v>134055</v>
      </c>
      <c r="N136" s="4">
        <v>0</v>
      </c>
      <c r="P136" s="4">
        <v>1985</v>
      </c>
      <c r="R136" s="4">
        <v>3383</v>
      </c>
      <c r="T136" s="4">
        <v>18001</v>
      </c>
      <c r="V136" s="4">
        <v>0</v>
      </c>
      <c r="X136" s="4">
        <v>0</v>
      </c>
      <c r="Z136" s="4">
        <v>0</v>
      </c>
      <c r="AB136" s="4">
        <v>0</v>
      </c>
      <c r="AD136" s="4">
        <v>0</v>
      </c>
      <c r="AF136" s="4">
        <f>SUM(F136:AD136)</f>
        <v>753677</v>
      </c>
    </row>
    <row r="137" spans="1:32" s="4" customFormat="1">
      <c r="A137" s="4">
        <v>191</v>
      </c>
      <c r="B137" s="4" t="s">
        <v>172</v>
      </c>
      <c r="D137" s="4" t="s">
        <v>173</v>
      </c>
      <c r="F137" s="4">
        <v>832665</v>
      </c>
      <c r="H137" s="4">
        <v>206429</v>
      </c>
      <c r="J137" s="4">
        <v>451794</v>
      </c>
      <c r="L137" s="4">
        <v>273068</v>
      </c>
      <c r="N137" s="4">
        <v>0</v>
      </c>
      <c r="P137" s="4">
        <v>71149</v>
      </c>
      <c r="R137" s="4">
        <v>15355</v>
      </c>
      <c r="T137" s="4">
        <v>67862</v>
      </c>
      <c r="V137" s="4">
        <v>0</v>
      </c>
      <c r="X137" s="4">
        <v>0</v>
      </c>
      <c r="Z137" s="4">
        <v>10000</v>
      </c>
      <c r="AB137" s="4">
        <v>0</v>
      </c>
      <c r="AD137" s="4">
        <v>0</v>
      </c>
      <c r="AF137" s="4">
        <f>SUM(F137:AD137)</f>
        <v>1928322</v>
      </c>
    </row>
    <row r="138" spans="1:32" s="4" customFormat="1">
      <c r="A138" s="4">
        <v>14</v>
      </c>
      <c r="B138" s="4" t="s">
        <v>174</v>
      </c>
      <c r="D138" s="4" t="s">
        <v>43</v>
      </c>
      <c r="F138" s="4">
        <v>224655</v>
      </c>
      <c r="H138" s="4">
        <v>34986</v>
      </c>
      <c r="J138" s="4">
        <v>53013</v>
      </c>
      <c r="L138" s="4">
        <v>75448</v>
      </c>
      <c r="N138" s="4">
        <v>0</v>
      </c>
      <c r="P138" s="4">
        <v>19956</v>
      </c>
      <c r="R138" s="4">
        <v>8477</v>
      </c>
      <c r="T138" s="4">
        <v>11271</v>
      </c>
      <c r="V138" s="4">
        <v>0</v>
      </c>
      <c r="X138" s="4">
        <v>0</v>
      </c>
      <c r="Z138" s="4">
        <v>0</v>
      </c>
      <c r="AB138" s="4">
        <v>0</v>
      </c>
      <c r="AD138" s="4">
        <v>0</v>
      </c>
      <c r="AF138" s="4">
        <f>SUM(F138:AD138)</f>
        <v>427806</v>
      </c>
    </row>
    <row r="139" spans="1:32" s="4" customFormat="1">
      <c r="A139" s="4">
        <v>226</v>
      </c>
      <c r="B139" s="4" t="s">
        <v>175</v>
      </c>
      <c r="D139" s="4" t="s">
        <v>56</v>
      </c>
      <c r="F139" s="4">
        <v>270744</v>
      </c>
      <c r="H139" s="4">
        <v>82986</v>
      </c>
      <c r="J139" s="4">
        <v>77103</v>
      </c>
      <c r="L139" s="4">
        <v>98144</v>
      </c>
      <c r="N139" s="4">
        <v>0</v>
      </c>
      <c r="P139" s="4">
        <v>18934</v>
      </c>
      <c r="R139" s="4">
        <v>7150</v>
      </c>
      <c r="T139" s="4">
        <v>19929</v>
      </c>
      <c r="V139" s="4">
        <v>0</v>
      </c>
      <c r="X139" s="4">
        <v>0</v>
      </c>
      <c r="Z139" s="4">
        <v>0</v>
      </c>
      <c r="AB139" s="4">
        <v>0</v>
      </c>
      <c r="AD139" s="4">
        <v>0</v>
      </c>
      <c r="AF139" s="4">
        <f>SUM(F139:AD139)</f>
        <v>574990</v>
      </c>
    </row>
    <row r="140" spans="1:32" s="4" customFormat="1">
      <c r="A140" s="4">
        <v>124</v>
      </c>
      <c r="B140" s="4" t="s">
        <v>176</v>
      </c>
      <c r="D140" s="4" t="s">
        <v>15</v>
      </c>
      <c r="F140" s="4">
        <v>370619</v>
      </c>
      <c r="H140" s="4">
        <v>73544</v>
      </c>
      <c r="J140" s="4">
        <v>116529</v>
      </c>
      <c r="L140" s="4">
        <v>126800</v>
      </c>
      <c r="N140" s="4">
        <v>0</v>
      </c>
      <c r="P140" s="4">
        <v>15160</v>
      </c>
      <c r="R140" s="4">
        <v>5965</v>
      </c>
      <c r="T140" s="4">
        <v>46484</v>
      </c>
      <c r="V140" s="4">
        <v>0</v>
      </c>
      <c r="X140" s="4">
        <v>0</v>
      </c>
      <c r="Z140" s="4">
        <v>2300</v>
      </c>
      <c r="AB140" s="4">
        <v>0</v>
      </c>
      <c r="AD140" s="4">
        <v>0</v>
      </c>
      <c r="AF140" s="4">
        <f>SUM(F140:AD140)</f>
        <v>757401</v>
      </c>
    </row>
    <row r="141" spans="1:32" s="4" customFormat="1">
      <c r="A141" s="4">
        <v>54</v>
      </c>
      <c r="B141" s="15" t="s">
        <v>438</v>
      </c>
      <c r="C141" s="15"/>
      <c r="D141" s="15" t="s">
        <v>19</v>
      </c>
      <c r="E141" s="15"/>
      <c r="F141" s="4">
        <f>523674+50082</f>
        <v>573756</v>
      </c>
      <c r="G141" s="15"/>
      <c r="H141" s="4">
        <v>0</v>
      </c>
      <c r="I141" s="15"/>
      <c r="J141" s="4">
        <v>0</v>
      </c>
      <c r="K141" s="15"/>
      <c r="L141" s="4">
        <v>1578865</v>
      </c>
      <c r="M141" s="15"/>
      <c r="N141" s="4">
        <v>702433</v>
      </c>
      <c r="O141" s="15"/>
      <c r="P141" s="4">
        <v>0</v>
      </c>
      <c r="Q141" s="15"/>
      <c r="R141" s="4">
        <v>1672277</v>
      </c>
      <c r="S141" s="15"/>
      <c r="T141" s="4">
        <v>4182599</v>
      </c>
      <c r="U141" s="15"/>
      <c r="V141" s="4">
        <v>0</v>
      </c>
      <c r="W141" s="15"/>
      <c r="X141" s="4">
        <v>0</v>
      </c>
      <c r="Y141" s="15"/>
      <c r="Z141" s="4">
        <v>1036582</v>
      </c>
      <c r="AA141" s="15"/>
      <c r="AB141" s="4">
        <v>0</v>
      </c>
      <c r="AC141" s="15"/>
      <c r="AD141" s="4">
        <v>0</v>
      </c>
      <c r="AE141" s="15"/>
      <c r="AF141" s="4">
        <f>SUM(F141:AD141)</f>
        <v>9746512</v>
      </c>
    </row>
    <row r="142" spans="1:32" s="4" customFormat="1">
      <c r="A142" s="4">
        <v>25</v>
      </c>
      <c r="B142" s="4" t="s">
        <v>9</v>
      </c>
      <c r="D142" s="4" t="s">
        <v>10</v>
      </c>
      <c r="F142" s="4">
        <f>1648950+221811+849756</f>
        <v>2720517</v>
      </c>
      <c r="H142" s="4">
        <v>0</v>
      </c>
      <c r="J142" s="4">
        <v>0</v>
      </c>
      <c r="L142" s="4">
        <v>2996567</v>
      </c>
      <c r="N142" s="4">
        <v>606189</v>
      </c>
      <c r="P142" s="4">
        <v>0</v>
      </c>
      <c r="R142" s="4">
        <v>0</v>
      </c>
      <c r="T142" s="4">
        <v>1565763</v>
      </c>
      <c r="V142" s="4">
        <v>0</v>
      </c>
      <c r="X142" s="4">
        <v>0</v>
      </c>
      <c r="Z142" s="4">
        <v>0</v>
      </c>
      <c r="AB142" s="4">
        <v>0</v>
      </c>
      <c r="AD142" s="4">
        <v>0</v>
      </c>
      <c r="AF142" s="4">
        <f>SUM(F142:AD142)</f>
        <v>7889036</v>
      </c>
    </row>
    <row r="143" spans="1:32" s="4" customFormat="1">
      <c r="A143" s="4">
        <v>241</v>
      </c>
      <c r="B143" s="4" t="s">
        <v>177</v>
      </c>
      <c r="D143" s="4" t="s">
        <v>54</v>
      </c>
      <c r="F143" s="4">
        <v>447237</v>
      </c>
      <c r="H143" s="4">
        <v>173007</v>
      </c>
      <c r="J143" s="4">
        <v>93564</v>
      </c>
      <c r="L143" s="4">
        <v>297145</v>
      </c>
      <c r="N143" s="4">
        <v>0</v>
      </c>
      <c r="P143" s="4">
        <v>51928</v>
      </c>
      <c r="R143" s="4">
        <v>11481</v>
      </c>
      <c r="T143" s="4">
        <v>30724</v>
      </c>
      <c r="V143" s="4">
        <v>0</v>
      </c>
      <c r="X143" s="4">
        <v>0</v>
      </c>
      <c r="Z143" s="4">
        <v>0</v>
      </c>
      <c r="AB143" s="4">
        <v>5208</v>
      </c>
      <c r="AD143" s="4">
        <v>0</v>
      </c>
      <c r="AF143" s="4">
        <f>SUM(F143:AD143)</f>
        <v>1110294</v>
      </c>
    </row>
    <row r="144" spans="1:32" s="4" customFormat="1">
      <c r="A144" s="4">
        <v>41</v>
      </c>
      <c r="B144" s="4" t="s">
        <v>307</v>
      </c>
      <c r="D144" s="4" t="s">
        <v>51</v>
      </c>
      <c r="F144" s="4">
        <v>108133</v>
      </c>
      <c r="H144" s="4">
        <v>44018</v>
      </c>
      <c r="J144" s="4">
        <v>159447</v>
      </c>
      <c r="L144" s="4">
        <v>41944</v>
      </c>
      <c r="N144" s="4">
        <v>0</v>
      </c>
      <c r="P144" s="4">
        <v>7126</v>
      </c>
      <c r="R144" s="4">
        <v>5268</v>
      </c>
      <c r="T144" s="4">
        <v>1076447</v>
      </c>
      <c r="V144" s="4">
        <v>0</v>
      </c>
      <c r="X144" s="4">
        <v>9764</v>
      </c>
      <c r="Z144" s="4">
        <v>104995</v>
      </c>
      <c r="AB144" s="4">
        <v>0</v>
      </c>
      <c r="AD144" s="4">
        <v>0</v>
      </c>
      <c r="AF144" s="4">
        <f>SUM(F144:AD144)</f>
        <v>1557142</v>
      </c>
    </row>
    <row r="145" spans="1:32" s="4" customFormat="1">
      <c r="A145" s="4">
        <v>42</v>
      </c>
      <c r="B145" s="4" t="s">
        <v>178</v>
      </c>
      <c r="D145" s="4" t="s">
        <v>51</v>
      </c>
      <c r="F145" s="4">
        <v>267887</v>
      </c>
      <c r="H145" s="4">
        <v>104096</v>
      </c>
      <c r="J145" s="4">
        <v>54599</v>
      </c>
      <c r="L145" s="4">
        <v>89534</v>
      </c>
      <c r="N145" s="4">
        <v>0</v>
      </c>
      <c r="P145" s="4">
        <v>25396</v>
      </c>
      <c r="R145" s="4">
        <v>8103</v>
      </c>
      <c r="T145" s="4">
        <v>97389</v>
      </c>
      <c r="V145" s="4">
        <v>0</v>
      </c>
      <c r="X145" s="4">
        <v>0</v>
      </c>
      <c r="Z145" s="4">
        <v>0</v>
      </c>
      <c r="AB145" s="4">
        <v>0</v>
      </c>
      <c r="AD145" s="4">
        <v>0</v>
      </c>
      <c r="AF145" s="4">
        <f>SUM(F145:AD145)</f>
        <v>647004</v>
      </c>
    </row>
    <row r="146" spans="1:32" s="4" customFormat="1">
      <c r="A146" s="4">
        <v>104</v>
      </c>
      <c r="B146" s="4" t="s">
        <v>179</v>
      </c>
      <c r="D146" s="4" t="s">
        <v>60</v>
      </c>
      <c r="F146" s="4">
        <v>78358</v>
      </c>
      <c r="H146" s="4">
        <v>30777</v>
      </c>
      <c r="J146" s="4">
        <v>36009</v>
      </c>
      <c r="L146" s="4">
        <v>22925</v>
      </c>
      <c r="N146" s="4">
        <v>0</v>
      </c>
      <c r="P146" s="4">
        <v>4075</v>
      </c>
      <c r="R146" s="4">
        <v>1900</v>
      </c>
      <c r="T146" s="4">
        <v>291</v>
      </c>
      <c r="V146" s="4">
        <v>12638</v>
      </c>
      <c r="X146" s="4">
        <v>9936</v>
      </c>
      <c r="Z146" s="4">
        <v>0</v>
      </c>
      <c r="AB146" s="4">
        <v>0</v>
      </c>
      <c r="AD146" s="4">
        <v>0</v>
      </c>
      <c r="AF146" s="4">
        <f>SUM(F146:AD146)</f>
        <v>196909</v>
      </c>
    </row>
    <row r="147" spans="1:32" s="4" customFormat="1">
      <c r="A147" s="4">
        <v>134</v>
      </c>
      <c r="B147" s="4" t="s">
        <v>574</v>
      </c>
      <c r="D147" s="4" t="s">
        <v>41</v>
      </c>
      <c r="F147" s="4">
        <v>2403617</v>
      </c>
      <c r="H147" s="4">
        <v>691287</v>
      </c>
      <c r="J147" s="4">
        <v>488995</v>
      </c>
      <c r="L147" s="4">
        <v>438370</v>
      </c>
      <c r="N147" s="4">
        <v>0</v>
      </c>
      <c r="P147" s="4">
        <v>53702</v>
      </c>
      <c r="R147" s="4">
        <v>11774</v>
      </c>
      <c r="T147" s="4">
        <v>51505</v>
      </c>
      <c r="V147" s="4">
        <v>0</v>
      </c>
      <c r="X147" s="4">
        <v>0</v>
      </c>
      <c r="Z147" s="4">
        <v>350000</v>
      </c>
      <c r="AB147" s="4">
        <v>0</v>
      </c>
      <c r="AD147" s="4">
        <v>0</v>
      </c>
      <c r="AF147" s="4">
        <f>SUM(F147:AD147)</f>
        <v>4489250</v>
      </c>
    </row>
    <row r="148" spans="1:32" s="4" customFormat="1">
      <c r="A148" s="4">
        <v>5</v>
      </c>
      <c r="B148" s="4" t="s">
        <v>180</v>
      </c>
      <c r="D148" s="4" t="s">
        <v>97</v>
      </c>
      <c r="F148" s="4">
        <v>2327047</v>
      </c>
      <c r="H148" s="4">
        <v>751056</v>
      </c>
      <c r="J148" s="4">
        <v>414856</v>
      </c>
      <c r="L148" s="4">
        <v>444935</v>
      </c>
      <c r="N148" s="4">
        <v>0</v>
      </c>
      <c r="P148" s="4">
        <v>84544</v>
      </c>
      <c r="R148" s="4">
        <v>25580</v>
      </c>
      <c r="T148" s="4">
        <v>219765</v>
      </c>
      <c r="V148" s="4">
        <v>0</v>
      </c>
      <c r="X148" s="4">
        <v>0</v>
      </c>
      <c r="Z148" s="4">
        <v>0</v>
      </c>
      <c r="AB148" s="4">
        <v>0</v>
      </c>
      <c r="AD148" s="4">
        <v>0</v>
      </c>
      <c r="AF148" s="4">
        <f>SUM(F148:AD148)</f>
        <v>4267783</v>
      </c>
    </row>
    <row r="149" spans="1:32" s="4" customFormat="1">
      <c r="A149" s="4">
        <v>139</v>
      </c>
      <c r="B149" s="4" t="s">
        <v>575</v>
      </c>
      <c r="D149" s="4" t="s">
        <v>87</v>
      </c>
      <c r="F149" s="4">
        <v>1042743</v>
      </c>
      <c r="J149" s="4">
        <v>259322</v>
      </c>
      <c r="L149" s="4">
        <v>258104</v>
      </c>
      <c r="N149" s="4">
        <v>0</v>
      </c>
      <c r="P149" s="4">
        <v>42952</v>
      </c>
      <c r="R149" s="4">
        <v>31250</v>
      </c>
      <c r="T149" s="4">
        <v>100202</v>
      </c>
      <c r="V149" s="4">
        <v>0</v>
      </c>
      <c r="X149" s="4">
        <v>0</v>
      </c>
      <c r="Z149" s="4">
        <v>0</v>
      </c>
      <c r="AB149" s="4">
        <v>0</v>
      </c>
      <c r="AD149" s="4">
        <v>0</v>
      </c>
      <c r="AF149" s="4">
        <f>SUM(F149:AD149)</f>
        <v>1734573</v>
      </c>
    </row>
    <row r="150" spans="1:32" s="4" customFormat="1">
      <c r="A150" s="4">
        <v>108</v>
      </c>
      <c r="B150" s="4" t="s">
        <v>576</v>
      </c>
      <c r="D150" s="4" t="s">
        <v>181</v>
      </c>
      <c r="F150" s="4">
        <v>308202</v>
      </c>
      <c r="H150" s="4">
        <v>115964</v>
      </c>
      <c r="J150" s="4">
        <v>119811</v>
      </c>
      <c r="L150" s="4">
        <v>261236</v>
      </c>
      <c r="N150" s="4">
        <v>0</v>
      </c>
      <c r="P150" s="4">
        <v>41082</v>
      </c>
      <c r="R150" s="4">
        <v>3808</v>
      </c>
      <c r="T150" s="4">
        <v>488805</v>
      </c>
      <c r="V150" s="4">
        <v>0</v>
      </c>
      <c r="X150" s="4">
        <v>0</v>
      </c>
      <c r="Z150" s="4">
        <v>900000</v>
      </c>
      <c r="AB150" s="4">
        <v>0</v>
      </c>
      <c r="AD150" s="4">
        <v>0</v>
      </c>
      <c r="AF150" s="4">
        <f>SUM(F150:AD150)</f>
        <v>2238908</v>
      </c>
    </row>
    <row r="151" spans="1:32" s="4" customFormat="1">
      <c r="A151" s="4">
        <v>149</v>
      </c>
      <c r="B151" s="4" t="s">
        <v>11</v>
      </c>
      <c r="D151" s="4" t="s">
        <v>12</v>
      </c>
      <c r="F151" s="4">
        <v>538513</v>
      </c>
      <c r="J151" s="4">
        <v>120559</v>
      </c>
      <c r="L151" s="4">
        <v>131072</v>
      </c>
      <c r="N151" s="4">
        <v>0</v>
      </c>
      <c r="P151" s="4">
        <v>28588</v>
      </c>
      <c r="R151" s="4">
        <v>2286</v>
      </c>
      <c r="T151" s="4">
        <v>295255</v>
      </c>
      <c r="V151" s="4">
        <v>0</v>
      </c>
      <c r="X151" s="4">
        <v>0</v>
      </c>
      <c r="Z151" s="4">
        <v>189150</v>
      </c>
      <c r="AB151" s="4">
        <v>0</v>
      </c>
      <c r="AD151" s="4">
        <v>0</v>
      </c>
      <c r="AF151" s="4">
        <f>SUM(F151:AD151)</f>
        <v>1305423</v>
      </c>
    </row>
    <row r="152" spans="1:32" s="4" customFormat="1">
      <c r="A152" s="4">
        <v>145</v>
      </c>
      <c r="B152" s="4" t="s">
        <v>182</v>
      </c>
      <c r="D152" s="4" t="s">
        <v>57</v>
      </c>
      <c r="F152" s="4">
        <v>0</v>
      </c>
      <c r="J152" s="4">
        <v>1758660</v>
      </c>
      <c r="L152" s="4">
        <v>6995628</v>
      </c>
      <c r="N152" s="4">
        <v>355389</v>
      </c>
      <c r="P152" s="4">
        <v>0</v>
      </c>
      <c r="R152" s="4">
        <v>0</v>
      </c>
      <c r="T152" s="4">
        <v>585559</v>
      </c>
      <c r="V152" s="4">
        <v>477685</v>
      </c>
      <c r="X152" s="4">
        <v>0</v>
      </c>
      <c r="Z152" s="4">
        <v>0</v>
      </c>
      <c r="AB152" s="4">
        <v>0</v>
      </c>
      <c r="AD152" s="4">
        <v>2345896</v>
      </c>
      <c r="AF152" s="4">
        <f>SUM(F152:AD152)</f>
        <v>12518817</v>
      </c>
    </row>
    <row r="153" spans="1:32" s="4" customFormat="1">
      <c r="A153" s="4">
        <v>7</v>
      </c>
      <c r="B153" s="4" t="s">
        <v>183</v>
      </c>
      <c r="D153" s="4" t="s">
        <v>83</v>
      </c>
      <c r="F153" s="4">
        <v>482946</v>
      </c>
      <c r="H153" s="4">
        <v>0</v>
      </c>
      <c r="J153" s="4">
        <v>124403</v>
      </c>
      <c r="L153" s="4">
        <v>118216</v>
      </c>
      <c r="N153" s="4">
        <v>0</v>
      </c>
      <c r="P153" s="4">
        <v>0</v>
      </c>
      <c r="R153" s="4">
        <v>0</v>
      </c>
      <c r="T153" s="4">
        <v>20635</v>
      </c>
      <c r="V153" s="4">
        <v>15248</v>
      </c>
      <c r="X153" s="4">
        <v>6623</v>
      </c>
      <c r="Z153" s="4">
        <v>0</v>
      </c>
      <c r="AB153" s="4">
        <v>0</v>
      </c>
      <c r="AD153" s="4">
        <v>0</v>
      </c>
      <c r="AF153" s="4">
        <f>SUM(F153:AD153)</f>
        <v>768071</v>
      </c>
    </row>
    <row r="154" spans="1:32" s="4" customFormat="1">
      <c r="A154" s="4">
        <v>210</v>
      </c>
      <c r="B154" s="4" t="s">
        <v>308</v>
      </c>
      <c r="D154" s="4" t="s">
        <v>25</v>
      </c>
      <c r="F154" s="4">
        <v>399976</v>
      </c>
      <c r="H154" s="4">
        <v>69318</v>
      </c>
      <c r="J154" s="4">
        <v>85675</v>
      </c>
      <c r="L154" s="4">
        <v>127797</v>
      </c>
      <c r="N154" s="4">
        <v>0</v>
      </c>
      <c r="P154" s="4">
        <v>12560</v>
      </c>
      <c r="R154" s="4">
        <v>6322</v>
      </c>
      <c r="T154" s="4">
        <v>20697</v>
      </c>
      <c r="V154" s="4">
        <v>0</v>
      </c>
      <c r="X154" s="4">
        <v>0</v>
      </c>
      <c r="Z154" s="4">
        <v>0</v>
      </c>
      <c r="AB154" s="4">
        <v>0</v>
      </c>
      <c r="AD154" s="4">
        <v>0</v>
      </c>
      <c r="AF154" s="4">
        <f>SUM(F154:AD154)</f>
        <v>722345</v>
      </c>
    </row>
    <row r="155" spans="1:32" s="4" customFormat="1">
      <c r="A155" s="4">
        <v>125</v>
      </c>
      <c r="B155" s="4" t="s">
        <v>184</v>
      </c>
      <c r="D155" s="4" t="s">
        <v>15</v>
      </c>
      <c r="F155" s="4">
        <v>602974</v>
      </c>
      <c r="H155" s="4">
        <v>180912</v>
      </c>
      <c r="J155" s="4">
        <v>174042</v>
      </c>
      <c r="L155" s="4">
        <v>273663</v>
      </c>
      <c r="N155" s="4">
        <v>0</v>
      </c>
      <c r="P155" s="4">
        <v>29081</v>
      </c>
      <c r="R155" s="4">
        <v>7660</v>
      </c>
      <c r="T155" s="4">
        <v>64144</v>
      </c>
      <c r="V155" s="4">
        <v>0</v>
      </c>
      <c r="X155" s="4">
        <v>0</v>
      </c>
      <c r="Z155" s="4">
        <v>0</v>
      </c>
      <c r="AB155" s="4">
        <v>0</v>
      </c>
      <c r="AD155" s="4">
        <v>0</v>
      </c>
      <c r="AF155" s="4">
        <f>SUM(F155:AD155)</f>
        <v>1332476</v>
      </c>
    </row>
    <row r="156" spans="1:32" s="4" customFormat="1">
      <c r="A156" s="4">
        <v>197</v>
      </c>
      <c r="B156" s="4" t="s">
        <v>603</v>
      </c>
      <c r="D156" s="4" t="s">
        <v>185</v>
      </c>
      <c r="F156" s="4">
        <v>4205281</v>
      </c>
      <c r="H156" s="4">
        <v>1719967</v>
      </c>
      <c r="J156" s="4">
        <f>982162+2175</f>
        <v>984337</v>
      </c>
      <c r="L156" s="4">
        <f>1086051+17025</f>
        <v>1103076</v>
      </c>
      <c r="N156" s="4">
        <v>0</v>
      </c>
      <c r="P156" s="4">
        <v>221805</v>
      </c>
      <c r="R156" s="4">
        <f>35356</f>
        <v>35356</v>
      </c>
      <c r="T156" s="4">
        <f>56598+197584</f>
        <v>254182</v>
      </c>
      <c r="V156" s="4">
        <v>0</v>
      </c>
      <c r="X156" s="4">
        <v>0</v>
      </c>
      <c r="Z156" s="4">
        <v>425000</v>
      </c>
      <c r="AB156" s="4">
        <v>0</v>
      </c>
      <c r="AD156" s="4">
        <v>0</v>
      </c>
      <c r="AF156" s="4">
        <f>SUM(F156:AD156)</f>
        <v>8949004</v>
      </c>
    </row>
    <row r="157" spans="1:32" s="4" customFormat="1">
      <c r="A157" s="4">
        <v>195</v>
      </c>
      <c r="B157" s="4" t="s">
        <v>186</v>
      </c>
      <c r="D157" s="4" t="s">
        <v>102</v>
      </c>
      <c r="F157" s="4">
        <v>26807</v>
      </c>
      <c r="H157" s="4">
        <v>3902</v>
      </c>
      <c r="J157" s="4">
        <v>18688</v>
      </c>
      <c r="L157" s="4">
        <v>17735</v>
      </c>
      <c r="N157" s="4">
        <v>0</v>
      </c>
      <c r="P157" s="4">
        <v>3516</v>
      </c>
      <c r="R157" s="4">
        <v>1088</v>
      </c>
      <c r="T157" s="4">
        <v>0</v>
      </c>
      <c r="V157" s="4">
        <v>0</v>
      </c>
      <c r="X157" s="4">
        <v>0</v>
      </c>
      <c r="Z157" s="4">
        <v>0</v>
      </c>
      <c r="AB157" s="4">
        <v>0</v>
      </c>
      <c r="AD157" s="4">
        <v>3515</v>
      </c>
      <c r="AF157" s="4">
        <f>SUM(F157:AD157)</f>
        <v>75251</v>
      </c>
    </row>
    <row r="158" spans="1:32" s="4" customFormat="1"/>
    <row r="159" spans="1:32" s="4" customFormat="1">
      <c r="AF159" s="47" t="s">
        <v>593</v>
      </c>
    </row>
    <row r="160" spans="1:32">
      <c r="B160" s="3" t="s">
        <v>526</v>
      </c>
    </row>
    <row r="161" spans="1:32">
      <c r="B161" s="3" t="s">
        <v>527</v>
      </c>
    </row>
    <row r="162" spans="1:32">
      <c r="B162" s="41" t="s">
        <v>7</v>
      </c>
    </row>
    <row r="164" spans="1:32" s="36" customFormat="1">
      <c r="B164" s="41"/>
      <c r="L164" s="36" t="s">
        <v>8</v>
      </c>
    </row>
    <row r="165" spans="1:32" s="36" customFormat="1">
      <c r="J165" s="36" t="s">
        <v>323</v>
      </c>
      <c r="L165" s="36" t="s">
        <v>557</v>
      </c>
      <c r="N165" s="36" t="s">
        <v>556</v>
      </c>
      <c r="X165" s="36" t="s">
        <v>330</v>
      </c>
      <c r="AD165" s="36" t="s">
        <v>0</v>
      </c>
    </row>
    <row r="166" spans="1:32" s="36" customFormat="1">
      <c r="H166" s="36" t="s">
        <v>321</v>
      </c>
      <c r="J166" s="36" t="s">
        <v>324</v>
      </c>
      <c r="L166" s="36" t="s">
        <v>325</v>
      </c>
      <c r="N166" s="36" t="s">
        <v>554</v>
      </c>
      <c r="T166" s="36" t="s">
        <v>30</v>
      </c>
      <c r="V166" s="36" t="s">
        <v>328</v>
      </c>
      <c r="X166" s="36" t="s">
        <v>331</v>
      </c>
      <c r="AD166" s="36" t="s">
        <v>296</v>
      </c>
    </row>
    <row r="167" spans="1:32" s="36" customFormat="1" ht="12" customHeight="1">
      <c r="A167" s="36" t="s">
        <v>580</v>
      </c>
      <c r="B167" s="37" t="s">
        <v>8</v>
      </c>
      <c r="C167" s="48"/>
      <c r="D167" s="37" t="s">
        <v>6</v>
      </c>
      <c r="E167" s="48"/>
      <c r="F167" s="37" t="s">
        <v>2</v>
      </c>
      <c r="G167" s="48"/>
      <c r="H167" s="37" t="s">
        <v>563</v>
      </c>
      <c r="I167" s="48"/>
      <c r="J167" s="37" t="s">
        <v>29</v>
      </c>
      <c r="K167" s="48"/>
      <c r="L167" s="37" t="s">
        <v>326</v>
      </c>
      <c r="M167" s="48"/>
      <c r="N167" s="37" t="s">
        <v>555</v>
      </c>
      <c r="O167" s="48"/>
      <c r="P167" s="37" t="s">
        <v>4</v>
      </c>
      <c r="Q167" s="48"/>
      <c r="R167" s="37" t="s">
        <v>0</v>
      </c>
      <c r="S167" s="48"/>
      <c r="T167" s="37" t="s">
        <v>327</v>
      </c>
      <c r="U167" s="48"/>
      <c r="V167" s="37" t="s">
        <v>329</v>
      </c>
      <c r="W167" s="48"/>
      <c r="X167" s="37" t="s">
        <v>332</v>
      </c>
      <c r="Y167" s="48"/>
      <c r="Z167" s="37" t="s">
        <v>506</v>
      </c>
      <c r="AA167" s="48"/>
      <c r="AB167" s="37" t="s">
        <v>507</v>
      </c>
      <c r="AC167" s="48"/>
      <c r="AD167" s="37" t="s">
        <v>333</v>
      </c>
      <c r="AE167" s="48"/>
      <c r="AF167" s="49" t="s">
        <v>28</v>
      </c>
    </row>
    <row r="168" spans="1:32" s="4" customFormat="1">
      <c r="A168" s="4">
        <v>154</v>
      </c>
      <c r="B168" s="3" t="s">
        <v>187</v>
      </c>
      <c r="C168" s="3"/>
      <c r="D168" s="3" t="s">
        <v>188</v>
      </c>
      <c r="E168" s="3"/>
      <c r="F168" s="7">
        <v>1324301</v>
      </c>
      <c r="G168" s="7"/>
      <c r="H168" s="7">
        <v>395004</v>
      </c>
      <c r="I168" s="7"/>
      <c r="J168" s="7">
        <v>282473</v>
      </c>
      <c r="K168" s="7"/>
      <c r="L168" s="7">
        <v>316251</v>
      </c>
      <c r="M168" s="7"/>
      <c r="N168" s="7">
        <v>0</v>
      </c>
      <c r="O168" s="7"/>
      <c r="P168" s="7">
        <v>53236</v>
      </c>
      <c r="Q168" s="7"/>
      <c r="R168" s="7">
        <v>15377</v>
      </c>
      <c r="S168" s="7"/>
      <c r="T168" s="7">
        <v>87815</v>
      </c>
      <c r="U168" s="7"/>
      <c r="V168" s="7">
        <v>0</v>
      </c>
      <c r="W168" s="7"/>
      <c r="X168" s="7">
        <v>0</v>
      </c>
      <c r="Y168" s="7"/>
      <c r="Z168" s="7">
        <v>0</v>
      </c>
      <c r="AA168" s="7"/>
      <c r="AB168" s="7">
        <v>0</v>
      </c>
      <c r="AC168" s="7"/>
      <c r="AD168" s="7">
        <v>0</v>
      </c>
      <c r="AE168" s="7"/>
      <c r="AF168" s="7">
        <f>SUM(F168:AD168)</f>
        <v>2474457</v>
      </c>
    </row>
    <row r="169" spans="1:32" s="4" customFormat="1">
      <c r="A169" s="4">
        <v>21</v>
      </c>
      <c r="B169" s="4" t="s">
        <v>430</v>
      </c>
      <c r="D169" s="4" t="s">
        <v>13</v>
      </c>
      <c r="F169" s="4">
        <v>599224</v>
      </c>
      <c r="H169" s="4">
        <v>159539</v>
      </c>
      <c r="J169" s="4">
        <v>224184</v>
      </c>
      <c r="L169" s="4">
        <v>226055</v>
      </c>
      <c r="N169" s="4">
        <v>0</v>
      </c>
      <c r="P169" s="4">
        <v>35387</v>
      </c>
      <c r="R169" s="4">
        <v>4928</v>
      </c>
      <c r="T169" s="4">
        <v>16879</v>
      </c>
      <c r="V169" s="4">
        <v>0</v>
      </c>
      <c r="X169" s="4">
        <v>0</v>
      </c>
      <c r="Z169" s="4">
        <v>0</v>
      </c>
      <c r="AB169" s="4">
        <v>0</v>
      </c>
      <c r="AD169" s="4">
        <v>0</v>
      </c>
      <c r="AF169" s="4">
        <f>SUM(F169:AD169)</f>
        <v>1266196</v>
      </c>
    </row>
    <row r="170" spans="1:32" s="4" customFormat="1">
      <c r="A170" s="4">
        <v>198</v>
      </c>
      <c r="B170" s="4" t="s">
        <v>189</v>
      </c>
      <c r="D170" s="4" t="s">
        <v>185</v>
      </c>
      <c r="F170" s="4">
        <v>268922</v>
      </c>
      <c r="H170" s="4">
        <v>118742</v>
      </c>
      <c r="J170" s="4">
        <v>103605</v>
      </c>
      <c r="L170" s="4">
        <v>99086</v>
      </c>
      <c r="N170" s="4">
        <v>0</v>
      </c>
      <c r="P170" s="4">
        <v>19132</v>
      </c>
      <c r="R170" s="4">
        <v>895</v>
      </c>
      <c r="T170" s="4">
        <v>16966</v>
      </c>
      <c r="V170" s="4">
        <v>0</v>
      </c>
      <c r="X170" s="4">
        <v>475</v>
      </c>
      <c r="Z170" s="4">
        <v>300000</v>
      </c>
      <c r="AB170" s="4">
        <v>0</v>
      </c>
      <c r="AD170" s="4">
        <v>0</v>
      </c>
      <c r="AF170" s="4">
        <f>SUM(F170:AD170)</f>
        <v>927823</v>
      </c>
    </row>
    <row r="171" spans="1:32" s="4" customFormat="1">
      <c r="A171" s="4">
        <v>242</v>
      </c>
      <c r="B171" s="4" t="s">
        <v>190</v>
      </c>
      <c r="D171" s="4" t="s">
        <v>54</v>
      </c>
      <c r="F171" s="4">
        <v>401780</v>
      </c>
      <c r="H171" s="4">
        <v>67897</v>
      </c>
      <c r="J171" s="4">
        <v>104317</v>
      </c>
      <c r="L171" s="4">
        <v>108816</v>
      </c>
      <c r="N171" s="4">
        <v>0</v>
      </c>
      <c r="P171" s="4">
        <v>16569</v>
      </c>
      <c r="R171" s="4">
        <v>6789</v>
      </c>
      <c r="T171" s="4">
        <v>100951</v>
      </c>
      <c r="V171" s="4">
        <v>0</v>
      </c>
      <c r="X171" s="4">
        <v>0</v>
      </c>
      <c r="Z171" s="4">
        <v>275000</v>
      </c>
      <c r="AB171" s="4">
        <v>0</v>
      </c>
      <c r="AD171" s="4">
        <v>0</v>
      </c>
      <c r="AF171" s="4">
        <f>SUM(F171:AD171)</f>
        <v>1082119</v>
      </c>
    </row>
    <row r="172" spans="1:32" s="4" customFormat="1">
      <c r="A172" s="4">
        <v>99</v>
      </c>
      <c r="B172" s="4" t="s">
        <v>191</v>
      </c>
      <c r="D172" s="4" t="s">
        <v>61</v>
      </c>
      <c r="F172" s="4">
        <v>381386</v>
      </c>
      <c r="H172" s="4">
        <v>82308</v>
      </c>
      <c r="J172" s="4">
        <v>117245</v>
      </c>
      <c r="L172" s="4">
        <v>164217</v>
      </c>
      <c r="N172" s="4">
        <v>0</v>
      </c>
      <c r="P172" s="4">
        <v>62929</v>
      </c>
      <c r="R172" s="4">
        <v>6212</v>
      </c>
      <c r="T172" s="4">
        <v>25681</v>
      </c>
      <c r="V172" s="4">
        <v>0</v>
      </c>
      <c r="X172" s="4">
        <v>0</v>
      </c>
      <c r="Z172" s="4">
        <v>0</v>
      </c>
      <c r="AB172" s="4">
        <v>0</v>
      </c>
      <c r="AD172" s="4">
        <v>0</v>
      </c>
      <c r="AF172" s="4">
        <f>SUM(F172:AD172)</f>
        <v>839978</v>
      </c>
    </row>
    <row r="173" spans="1:32" s="4" customFormat="1">
      <c r="A173" s="4">
        <v>237</v>
      </c>
      <c r="B173" s="4" t="s">
        <v>192</v>
      </c>
      <c r="D173" s="4" t="s">
        <v>193</v>
      </c>
      <c r="F173" s="4">
        <v>773288</v>
      </c>
      <c r="H173" s="4">
        <v>205996</v>
      </c>
      <c r="J173" s="4">
        <v>146021</v>
      </c>
      <c r="L173" s="4">
        <v>304877</v>
      </c>
      <c r="N173" s="4">
        <v>0</v>
      </c>
      <c r="P173" s="4">
        <v>24272</v>
      </c>
      <c r="R173" s="4">
        <v>92162</v>
      </c>
      <c r="T173" s="4">
        <v>109467</v>
      </c>
      <c r="V173" s="4">
        <v>0</v>
      </c>
      <c r="X173" s="4">
        <v>0</v>
      </c>
      <c r="Z173" s="4">
        <v>195000</v>
      </c>
      <c r="AB173" s="4">
        <v>0</v>
      </c>
      <c r="AD173" s="4">
        <v>0</v>
      </c>
      <c r="AF173" s="4">
        <f>SUM(F173:AD173)</f>
        <v>1851083</v>
      </c>
    </row>
    <row r="174" spans="1:32" s="4" customFormat="1">
      <c r="A174" s="4">
        <v>243</v>
      </c>
      <c r="B174" s="4" t="s">
        <v>194</v>
      </c>
      <c r="D174" s="4" t="s">
        <v>54</v>
      </c>
      <c r="F174" s="4">
        <v>672958</v>
      </c>
      <c r="H174" s="4">
        <v>249298</v>
      </c>
      <c r="J174" s="4">
        <v>170883</v>
      </c>
      <c r="L174" s="4">
        <v>291581</v>
      </c>
      <c r="N174" s="4">
        <v>0</v>
      </c>
      <c r="P174" s="4">
        <v>31681</v>
      </c>
      <c r="R174" s="4">
        <v>4904</v>
      </c>
      <c r="T174" s="4">
        <v>55639</v>
      </c>
      <c r="V174" s="4">
        <v>0</v>
      </c>
      <c r="X174" s="4">
        <v>0</v>
      </c>
      <c r="Z174" s="4">
        <v>22661</v>
      </c>
      <c r="AB174" s="4">
        <v>0</v>
      </c>
      <c r="AD174" s="4">
        <v>12889</v>
      </c>
      <c r="AF174" s="4">
        <f>SUM(F174:AD174)</f>
        <v>1512494</v>
      </c>
    </row>
    <row r="175" spans="1:32" s="4" customFormat="1">
      <c r="A175" s="4">
        <v>211</v>
      </c>
      <c r="B175" s="4" t="s">
        <v>195</v>
      </c>
      <c r="D175" s="4" t="s">
        <v>25</v>
      </c>
      <c r="F175" s="4">
        <v>1223980</v>
      </c>
      <c r="H175" s="4">
        <v>263406</v>
      </c>
      <c r="J175" s="4">
        <v>424964</v>
      </c>
      <c r="L175" s="4">
        <v>390994</v>
      </c>
      <c r="N175" s="4">
        <v>0</v>
      </c>
      <c r="P175" s="4">
        <v>58163</v>
      </c>
      <c r="R175" s="4">
        <v>14995</v>
      </c>
      <c r="T175" s="4">
        <v>378636</v>
      </c>
      <c r="V175" s="4">
        <v>0</v>
      </c>
      <c r="X175" s="4">
        <v>0</v>
      </c>
      <c r="Z175" s="4">
        <v>250682</v>
      </c>
      <c r="AB175" s="4">
        <v>0</v>
      </c>
      <c r="AD175" s="4">
        <v>0</v>
      </c>
      <c r="AF175" s="4">
        <f>SUM(F175:AD175)</f>
        <v>3005820</v>
      </c>
    </row>
    <row r="176" spans="1:32" s="4" customFormat="1">
      <c r="A176" s="4">
        <v>94</v>
      </c>
      <c r="B176" s="4" t="s">
        <v>340</v>
      </c>
      <c r="D176" s="4" t="s">
        <v>139</v>
      </c>
      <c r="F176" s="4">
        <v>149082</v>
      </c>
      <c r="H176" s="4">
        <v>67670</v>
      </c>
      <c r="J176" s="4">
        <v>34888</v>
      </c>
      <c r="L176" s="4">
        <v>31298</v>
      </c>
      <c r="N176" s="4">
        <v>0</v>
      </c>
      <c r="P176" s="4">
        <v>7535</v>
      </c>
      <c r="R176" s="4">
        <v>43187</v>
      </c>
      <c r="T176" s="4">
        <v>5572</v>
      </c>
      <c r="V176" s="4">
        <v>0</v>
      </c>
      <c r="X176" s="4">
        <v>0</v>
      </c>
      <c r="Z176" s="4">
        <v>0</v>
      </c>
      <c r="AB176" s="4">
        <v>0</v>
      </c>
      <c r="AD176" s="4">
        <v>0</v>
      </c>
      <c r="AF176" s="4">
        <f>SUM(F176:AD176)</f>
        <v>339232</v>
      </c>
    </row>
    <row r="177" spans="1:32" s="4" customFormat="1">
      <c r="A177" s="4">
        <v>227</v>
      </c>
      <c r="B177" s="4" t="s">
        <v>440</v>
      </c>
      <c r="D177" s="4" t="s">
        <v>56</v>
      </c>
      <c r="F177" s="4">
        <v>538343</v>
      </c>
      <c r="H177" s="4">
        <v>153559</v>
      </c>
      <c r="J177" s="4">
        <v>180546</v>
      </c>
      <c r="L177" s="4">
        <v>186346</v>
      </c>
      <c r="N177" s="4">
        <v>0</v>
      </c>
      <c r="P177" s="4">
        <v>27994</v>
      </c>
      <c r="R177" s="4">
        <v>3863</v>
      </c>
      <c r="T177" s="4">
        <f>37551+5700</f>
        <v>43251</v>
      </c>
      <c r="V177" s="4">
        <v>0</v>
      </c>
      <c r="X177" s="4">
        <v>0</v>
      </c>
      <c r="Z177" s="4">
        <v>0</v>
      </c>
      <c r="AB177" s="4">
        <v>0</v>
      </c>
      <c r="AD177" s="4">
        <v>0</v>
      </c>
      <c r="AF177" s="4">
        <f>SUM(F177:AD177)</f>
        <v>1133902</v>
      </c>
    </row>
    <row r="178" spans="1:32" s="4" customFormat="1">
      <c r="A178" s="4">
        <v>29</v>
      </c>
      <c r="B178" s="4" t="s">
        <v>196</v>
      </c>
      <c r="D178" s="4" t="s">
        <v>62</v>
      </c>
      <c r="F178" s="4">
        <v>166460</v>
      </c>
      <c r="H178" s="4">
        <v>51590</v>
      </c>
      <c r="J178" s="4">
        <v>37177</v>
      </c>
      <c r="L178" s="4">
        <v>29255</v>
      </c>
      <c r="N178" s="4">
        <v>0</v>
      </c>
      <c r="P178" s="4">
        <v>6072</v>
      </c>
      <c r="R178" s="4">
        <v>1052</v>
      </c>
      <c r="T178" s="4">
        <v>8512</v>
      </c>
      <c r="V178" s="4">
        <v>0</v>
      </c>
      <c r="X178" s="4">
        <v>0</v>
      </c>
      <c r="Z178" s="4">
        <v>0</v>
      </c>
      <c r="AB178" s="4">
        <v>0</v>
      </c>
      <c r="AD178" s="4">
        <v>3590</v>
      </c>
      <c r="AF178" s="4">
        <f>SUM(F178:AD178)</f>
        <v>303708</v>
      </c>
    </row>
    <row r="179" spans="1:32" s="4" customFormat="1">
      <c r="A179" s="4">
        <v>156</v>
      </c>
      <c r="B179" s="4" t="s">
        <v>604</v>
      </c>
      <c r="D179" s="4" t="s">
        <v>20</v>
      </c>
      <c r="F179" s="4">
        <v>4156223</v>
      </c>
      <c r="H179" s="4">
        <v>1095244</v>
      </c>
      <c r="J179" s="4">
        <f>1514668+64536+998764</f>
        <v>2577968</v>
      </c>
      <c r="L179" s="4">
        <v>1613275</v>
      </c>
      <c r="N179" s="4">
        <v>0</v>
      </c>
      <c r="P179" s="4">
        <v>172868</v>
      </c>
      <c r="R179" s="4">
        <v>22568</v>
      </c>
      <c r="T179" s="4">
        <v>3605694</v>
      </c>
      <c r="V179" s="4">
        <v>1615000</v>
      </c>
      <c r="X179" s="4">
        <v>1647263</v>
      </c>
      <c r="Z179" s="4">
        <v>0</v>
      </c>
      <c r="AB179" s="4">
        <v>0</v>
      </c>
      <c r="AD179" s="4">
        <v>0</v>
      </c>
      <c r="AF179" s="4">
        <f>SUM(F179:AD179)</f>
        <v>16506103</v>
      </c>
    </row>
    <row r="180" spans="1:32" s="4" customFormat="1">
      <c r="A180" s="4">
        <v>157</v>
      </c>
      <c r="B180" s="4" t="s">
        <v>490</v>
      </c>
      <c r="D180" s="4" t="s">
        <v>433</v>
      </c>
      <c r="F180" s="4">
        <v>442169</v>
      </c>
      <c r="H180" s="4">
        <v>129875</v>
      </c>
      <c r="J180" s="4">
        <v>112254</v>
      </c>
      <c r="L180" s="4">
        <v>139309</v>
      </c>
      <c r="N180" s="4">
        <v>0</v>
      </c>
      <c r="P180" s="4">
        <v>19925</v>
      </c>
      <c r="R180" s="4">
        <v>3436</v>
      </c>
      <c r="T180" s="4">
        <v>43756</v>
      </c>
      <c r="V180" s="4">
        <v>0</v>
      </c>
      <c r="X180" s="4">
        <v>0</v>
      </c>
      <c r="Z180" s="4">
        <v>80000</v>
      </c>
      <c r="AB180" s="4">
        <v>0</v>
      </c>
      <c r="AD180" s="4">
        <v>0</v>
      </c>
      <c r="AF180" s="4">
        <f>SUM(F180:AD180)</f>
        <v>970724</v>
      </c>
    </row>
    <row r="181" spans="1:32" s="4" customFormat="1">
      <c r="A181" s="4">
        <v>126</v>
      </c>
      <c r="B181" s="4" t="s">
        <v>14</v>
      </c>
      <c r="D181" s="4" t="s">
        <v>15</v>
      </c>
      <c r="F181" s="4">
        <f>296329+524901</f>
        <v>821230</v>
      </c>
      <c r="H181" s="4">
        <v>0</v>
      </c>
      <c r="J181" s="4">
        <v>0</v>
      </c>
      <c r="L181" s="4">
        <v>854629</v>
      </c>
      <c r="N181" s="4">
        <v>427442</v>
      </c>
      <c r="P181" s="4">
        <v>0</v>
      </c>
      <c r="R181" s="4">
        <v>1060310</v>
      </c>
      <c r="T181" s="4">
        <v>72098</v>
      </c>
      <c r="V181" s="4">
        <v>37000</v>
      </c>
      <c r="X181" s="4">
        <v>15426</v>
      </c>
      <c r="Z181" s="4">
        <v>52425</v>
      </c>
      <c r="AB181" s="4">
        <v>0</v>
      </c>
      <c r="AD181" s="4">
        <v>0</v>
      </c>
      <c r="AF181" s="4">
        <f>SUM(F181:AD181)</f>
        <v>3340560</v>
      </c>
    </row>
    <row r="182" spans="1:32" s="4" customFormat="1">
      <c r="A182" s="4">
        <v>160</v>
      </c>
      <c r="B182" s="4" t="s">
        <v>605</v>
      </c>
      <c r="D182" s="4" t="s">
        <v>50</v>
      </c>
      <c r="F182" s="4">
        <v>540149</v>
      </c>
      <c r="H182" s="4">
        <v>157977</v>
      </c>
      <c r="J182" s="4">
        <v>143120</v>
      </c>
      <c r="L182" s="4">
        <v>70240</v>
      </c>
      <c r="N182" s="4">
        <v>0</v>
      </c>
      <c r="P182" s="4">
        <v>23237</v>
      </c>
      <c r="R182" s="4">
        <v>12776</v>
      </c>
      <c r="T182" s="4">
        <v>41642</v>
      </c>
      <c r="V182" s="4">
        <v>0</v>
      </c>
      <c r="X182" s="4">
        <v>0</v>
      </c>
      <c r="Z182" s="4">
        <v>41325</v>
      </c>
      <c r="AB182" s="4">
        <v>0</v>
      </c>
      <c r="AD182" s="4">
        <v>0</v>
      </c>
      <c r="AF182" s="4">
        <f>SUM(F182:AD182)</f>
        <v>1030466</v>
      </c>
    </row>
    <row r="183" spans="1:32" s="4" customFormat="1">
      <c r="A183" s="4">
        <v>26</v>
      </c>
      <c r="B183" s="4" t="s">
        <v>197</v>
      </c>
      <c r="D183" s="4" t="s">
        <v>10</v>
      </c>
      <c r="F183" s="4">
        <f>782491+405737</f>
        <v>1188228</v>
      </c>
      <c r="H183" s="4">
        <v>0</v>
      </c>
      <c r="J183" s="4">
        <v>0</v>
      </c>
      <c r="L183" s="4">
        <v>2371276</v>
      </c>
      <c r="N183" s="4">
        <v>732280</v>
      </c>
      <c r="P183" s="4">
        <v>0</v>
      </c>
      <c r="R183" s="4">
        <v>1571784</v>
      </c>
      <c r="T183" s="4">
        <v>82693</v>
      </c>
      <c r="V183" s="4">
        <v>0</v>
      </c>
      <c r="X183" s="4">
        <v>0</v>
      </c>
      <c r="Z183" s="4">
        <v>250000</v>
      </c>
      <c r="AB183" s="4">
        <v>0</v>
      </c>
      <c r="AD183" s="4">
        <v>0</v>
      </c>
      <c r="AF183" s="4">
        <f>SUM(F183:AD183)</f>
        <v>6196261</v>
      </c>
    </row>
    <row r="184" spans="1:32" s="4" customFormat="1">
      <c r="A184" s="4">
        <v>67</v>
      </c>
      <c r="B184" s="4" t="s">
        <v>198</v>
      </c>
      <c r="D184" s="4" t="s">
        <v>167</v>
      </c>
      <c r="F184" s="4">
        <v>357446</v>
      </c>
      <c r="H184" s="4">
        <v>64458</v>
      </c>
      <c r="J184" s="4">
        <v>85200</v>
      </c>
      <c r="L184" s="4">
        <v>125970</v>
      </c>
      <c r="N184" s="4">
        <v>0</v>
      </c>
      <c r="P184" s="4">
        <v>16658</v>
      </c>
      <c r="R184" s="4">
        <v>6129</v>
      </c>
      <c r="T184" s="4">
        <v>41646</v>
      </c>
      <c r="V184" s="4">
        <v>0</v>
      </c>
      <c r="X184" s="4">
        <v>0</v>
      </c>
      <c r="Z184" s="4">
        <v>2456</v>
      </c>
      <c r="AB184" s="4">
        <v>0</v>
      </c>
      <c r="AD184" s="4">
        <v>55663</v>
      </c>
      <c r="AF184" s="4">
        <f>SUM(F184:AD184)</f>
        <v>755626</v>
      </c>
    </row>
    <row r="185" spans="1:32" s="4" customFormat="1">
      <c r="A185" s="4">
        <v>165</v>
      </c>
      <c r="B185" s="4" t="s">
        <v>199</v>
      </c>
      <c r="D185" s="4" t="s">
        <v>53</v>
      </c>
      <c r="F185" s="4">
        <v>237500</v>
      </c>
      <c r="H185" s="4">
        <v>69471</v>
      </c>
      <c r="J185" s="4">
        <v>77072</v>
      </c>
      <c r="L185" s="4">
        <v>51522</v>
      </c>
      <c r="N185" s="4">
        <v>0</v>
      </c>
      <c r="P185" s="4">
        <v>5791</v>
      </c>
      <c r="R185" s="4">
        <v>2642</v>
      </c>
      <c r="T185" s="4">
        <v>0</v>
      </c>
      <c r="V185" s="4">
        <v>0</v>
      </c>
      <c r="X185" s="4">
        <v>0</v>
      </c>
      <c r="Z185" s="4">
        <v>0</v>
      </c>
      <c r="AB185" s="4">
        <v>0</v>
      </c>
      <c r="AD185" s="4">
        <v>0</v>
      </c>
      <c r="AF185" s="4">
        <f>SUM(F185:AD185)</f>
        <v>443998</v>
      </c>
    </row>
    <row r="186" spans="1:32" s="4" customFormat="1">
      <c r="A186" s="4">
        <v>212</v>
      </c>
      <c r="B186" s="4" t="s">
        <v>200</v>
      </c>
      <c r="D186" s="4" t="s">
        <v>25</v>
      </c>
      <c r="F186" s="4">
        <v>449470</v>
      </c>
      <c r="H186" s="4">
        <v>140870</v>
      </c>
      <c r="J186" s="4">
        <v>90939</v>
      </c>
      <c r="L186" s="4">
        <v>132286</v>
      </c>
      <c r="N186" s="4">
        <v>0</v>
      </c>
      <c r="P186" s="4">
        <v>12356</v>
      </c>
      <c r="R186" s="4">
        <v>24401</v>
      </c>
      <c r="T186" s="4">
        <v>865</v>
      </c>
      <c r="V186" s="4">
        <v>0</v>
      </c>
      <c r="X186" s="4">
        <v>0</v>
      </c>
      <c r="Z186" s="4">
        <v>45000</v>
      </c>
      <c r="AB186" s="4">
        <v>0</v>
      </c>
      <c r="AD186" s="4">
        <v>0</v>
      </c>
      <c r="AF186" s="4">
        <f>SUM(F186:AD186)</f>
        <v>896187</v>
      </c>
    </row>
    <row r="187" spans="1:32" s="4" customFormat="1">
      <c r="A187" s="4">
        <v>259</v>
      </c>
      <c r="B187" s="4" t="s">
        <v>309</v>
      </c>
      <c r="D187" s="4" t="s">
        <v>63</v>
      </c>
      <c r="F187" s="4">
        <v>117066</v>
      </c>
      <c r="H187" s="4">
        <v>18346</v>
      </c>
      <c r="J187" s="4">
        <v>42072</v>
      </c>
      <c r="L187" s="4">
        <v>50923</v>
      </c>
      <c r="N187" s="4">
        <v>0</v>
      </c>
      <c r="P187" s="4">
        <v>9219</v>
      </c>
      <c r="R187" s="4">
        <v>3513</v>
      </c>
      <c r="T187" s="4">
        <v>809</v>
      </c>
      <c r="V187" s="4">
        <v>0</v>
      </c>
      <c r="X187" s="4">
        <v>0</v>
      </c>
      <c r="Z187" s="4">
        <v>27839</v>
      </c>
      <c r="AB187" s="4">
        <v>0</v>
      </c>
      <c r="AD187" s="4">
        <v>0</v>
      </c>
      <c r="AF187" s="4">
        <f>SUM(F187:AD187)</f>
        <v>269787</v>
      </c>
    </row>
    <row r="188" spans="1:32" s="4" customFormat="1">
      <c r="A188" s="4">
        <v>168</v>
      </c>
      <c r="B188" s="4" t="s">
        <v>508</v>
      </c>
      <c r="D188" s="4" t="s">
        <v>64</v>
      </c>
      <c r="F188" s="4">
        <v>241200</v>
      </c>
      <c r="H188" s="4">
        <v>88377</v>
      </c>
      <c r="J188" s="4">
        <v>85926</v>
      </c>
      <c r="L188" s="4">
        <v>113105</v>
      </c>
      <c r="N188" s="4">
        <v>0</v>
      </c>
      <c r="P188" s="4">
        <v>14565</v>
      </c>
      <c r="R188" s="4">
        <v>12975</v>
      </c>
      <c r="T188" s="4">
        <v>51961</v>
      </c>
      <c r="V188" s="4">
        <v>0</v>
      </c>
      <c r="X188" s="4">
        <v>0</v>
      </c>
      <c r="Z188" s="4">
        <v>0</v>
      </c>
      <c r="AB188" s="4">
        <v>0</v>
      </c>
      <c r="AD188" s="4">
        <v>0</v>
      </c>
      <c r="AF188" s="4">
        <f>SUM(F188:AD188)</f>
        <v>608109</v>
      </c>
    </row>
    <row r="189" spans="1:32" s="4" customFormat="1">
      <c r="A189" s="4">
        <v>111</v>
      </c>
      <c r="B189" s="4" t="s">
        <v>202</v>
      </c>
      <c r="D189" s="4" t="s">
        <v>89</v>
      </c>
      <c r="F189" s="4">
        <v>70501</v>
      </c>
      <c r="H189" s="4">
        <v>12340</v>
      </c>
      <c r="J189" s="4">
        <v>33967</v>
      </c>
      <c r="L189" s="4">
        <v>12291</v>
      </c>
      <c r="N189" s="4">
        <v>0</v>
      </c>
      <c r="P189" s="4">
        <v>3161</v>
      </c>
      <c r="R189" s="4">
        <v>305</v>
      </c>
      <c r="T189" s="4">
        <v>3717</v>
      </c>
      <c r="V189" s="4">
        <v>0</v>
      </c>
      <c r="X189" s="4">
        <v>0</v>
      </c>
      <c r="Z189" s="4">
        <v>2000</v>
      </c>
      <c r="AB189" s="4">
        <v>0</v>
      </c>
      <c r="AD189" s="4">
        <v>0</v>
      </c>
      <c r="AF189" s="4">
        <f>SUM(F189:AD189)</f>
        <v>138282</v>
      </c>
    </row>
    <row r="190" spans="1:32" s="4" customFormat="1">
      <c r="A190" s="4">
        <v>248</v>
      </c>
      <c r="B190" s="4" t="s">
        <v>203</v>
      </c>
      <c r="D190" s="4" t="s">
        <v>204</v>
      </c>
      <c r="F190" s="4">
        <v>119916</v>
      </c>
      <c r="H190" s="4">
        <v>18836</v>
      </c>
      <c r="J190" s="4">
        <v>44952</v>
      </c>
      <c r="L190" s="4">
        <f>39215+123</f>
        <v>39338</v>
      </c>
      <c r="N190" s="4">
        <v>0</v>
      </c>
      <c r="P190" s="4">
        <v>8185</v>
      </c>
      <c r="R190" s="4">
        <v>4012</v>
      </c>
      <c r="T190" s="4">
        <v>25563</v>
      </c>
      <c r="V190" s="4">
        <v>0</v>
      </c>
      <c r="X190" s="4">
        <v>0</v>
      </c>
      <c r="Z190" s="4">
        <v>0</v>
      </c>
      <c r="AB190" s="4">
        <v>0</v>
      </c>
      <c r="AD190" s="4">
        <v>0</v>
      </c>
      <c r="AF190" s="4">
        <f>SUM(F190:AD190)</f>
        <v>260802</v>
      </c>
    </row>
    <row r="191" spans="1:32" s="4" customFormat="1">
      <c r="A191" s="4">
        <v>127</v>
      </c>
      <c r="B191" s="4" t="s">
        <v>205</v>
      </c>
      <c r="D191" s="4" t="s">
        <v>15</v>
      </c>
      <c r="F191" s="4">
        <v>1332134</v>
      </c>
      <c r="H191" s="4">
        <v>441051</v>
      </c>
      <c r="J191" s="4">
        <v>456081</v>
      </c>
      <c r="L191" s="4">
        <v>569536</v>
      </c>
      <c r="N191" s="4">
        <v>0</v>
      </c>
      <c r="P191" s="4">
        <v>61792</v>
      </c>
      <c r="R191" s="4">
        <v>34116</v>
      </c>
      <c r="T191" s="4">
        <v>13163</v>
      </c>
      <c r="V191" s="4">
        <v>475000</v>
      </c>
      <c r="X191" s="4">
        <v>418337</v>
      </c>
      <c r="Z191" s="4">
        <v>0</v>
      </c>
      <c r="AB191" s="4">
        <v>0</v>
      </c>
      <c r="AD191" s="4">
        <v>0</v>
      </c>
      <c r="AF191" s="4">
        <f>SUM(F191:AD191)</f>
        <v>3801210</v>
      </c>
    </row>
    <row r="192" spans="1:32" s="4" customFormat="1">
      <c r="A192" s="4">
        <v>175</v>
      </c>
      <c r="B192" s="4" t="s">
        <v>206</v>
      </c>
      <c r="D192" s="4" t="s">
        <v>68</v>
      </c>
      <c r="F192" s="4">
        <v>195417</v>
      </c>
      <c r="H192" s="4">
        <v>35139</v>
      </c>
      <c r="J192" s="4">
        <f>88637+37877</f>
        <v>126514</v>
      </c>
      <c r="L192" s="4">
        <v>58358</v>
      </c>
      <c r="N192" s="4">
        <v>0</v>
      </c>
      <c r="P192" s="4">
        <v>5803</v>
      </c>
      <c r="R192" s="4">
        <v>4198</v>
      </c>
      <c r="T192" s="4">
        <v>2114</v>
      </c>
      <c r="V192" s="4">
        <v>0</v>
      </c>
      <c r="X192" s="4">
        <v>0</v>
      </c>
      <c r="Z192" s="4">
        <v>0</v>
      </c>
      <c r="AB192" s="4">
        <v>0</v>
      </c>
      <c r="AD192" s="4">
        <v>113</v>
      </c>
      <c r="AF192" s="4">
        <f>SUM(F192:AD192)</f>
        <v>427656</v>
      </c>
    </row>
    <row r="193" spans="1:32" s="4" customFormat="1">
      <c r="A193" s="4">
        <v>150</v>
      </c>
      <c r="B193" s="4" t="s">
        <v>207</v>
      </c>
      <c r="D193" s="4" t="s">
        <v>12</v>
      </c>
      <c r="F193" s="4">
        <v>96284</v>
      </c>
      <c r="H193" s="4">
        <v>15684</v>
      </c>
      <c r="J193" s="4">
        <v>60295</v>
      </c>
      <c r="L193" s="4">
        <v>25169</v>
      </c>
      <c r="N193" s="4">
        <v>0</v>
      </c>
      <c r="P193" s="4">
        <v>5697</v>
      </c>
      <c r="R193" s="4">
        <v>4299</v>
      </c>
      <c r="T193" s="4">
        <v>4857</v>
      </c>
      <c r="V193" s="4">
        <v>0</v>
      </c>
      <c r="X193" s="4">
        <v>0</v>
      </c>
      <c r="Z193" s="4">
        <v>0</v>
      </c>
      <c r="AB193" s="4">
        <v>0</v>
      </c>
      <c r="AD193" s="4">
        <v>0</v>
      </c>
      <c r="AF193" s="4">
        <f>SUM(F193:AD193)</f>
        <v>212285</v>
      </c>
    </row>
    <row r="194" spans="1:32" s="4" customFormat="1">
      <c r="A194" s="4">
        <v>122</v>
      </c>
      <c r="B194" s="4" t="s">
        <v>431</v>
      </c>
      <c r="D194" s="4" t="s">
        <v>16</v>
      </c>
      <c r="F194" s="4">
        <v>0</v>
      </c>
      <c r="H194" s="4">
        <v>0</v>
      </c>
      <c r="J194" s="4">
        <v>0</v>
      </c>
      <c r="L194" s="4">
        <v>1948467</v>
      </c>
      <c r="N194" s="4">
        <v>0</v>
      </c>
      <c r="P194" s="4">
        <v>0</v>
      </c>
      <c r="R194" s="4">
        <v>0</v>
      </c>
      <c r="T194" s="4">
        <v>28706</v>
      </c>
      <c r="V194" s="4">
        <v>238145</v>
      </c>
      <c r="X194" s="4">
        <v>0</v>
      </c>
      <c r="Z194" s="4">
        <v>0</v>
      </c>
      <c r="AB194" s="4">
        <v>0</v>
      </c>
      <c r="AD194" s="4">
        <v>0</v>
      </c>
      <c r="AF194" s="4">
        <f>SUM(F194:AD194)</f>
        <v>2215318</v>
      </c>
    </row>
    <row r="195" spans="1:32" s="4" customFormat="1">
      <c r="A195" s="4">
        <v>178</v>
      </c>
      <c r="B195" s="4" t="s">
        <v>606</v>
      </c>
      <c r="D195" s="4" t="s">
        <v>209</v>
      </c>
      <c r="F195" s="4">
        <v>2331777</v>
      </c>
      <c r="H195" s="4">
        <v>0</v>
      </c>
      <c r="J195" s="4">
        <v>462359</v>
      </c>
      <c r="L195" s="4">
        <v>631365</v>
      </c>
      <c r="N195" s="4">
        <v>0</v>
      </c>
      <c r="P195" s="4">
        <v>0</v>
      </c>
      <c r="R195" s="4">
        <v>0</v>
      </c>
      <c r="T195" s="4">
        <v>504394</v>
      </c>
      <c r="V195" s="4">
        <v>0</v>
      </c>
      <c r="X195" s="4">
        <v>0</v>
      </c>
      <c r="Z195" s="4">
        <v>0</v>
      </c>
      <c r="AB195" s="4">
        <v>0</v>
      </c>
      <c r="AD195" s="4">
        <v>0</v>
      </c>
      <c r="AF195" s="4">
        <f>SUM(F195:AD195)</f>
        <v>3929895</v>
      </c>
    </row>
    <row r="196" spans="1:32" s="4" customFormat="1">
      <c r="A196" s="4">
        <v>105</v>
      </c>
      <c r="B196" s="4" t="s">
        <v>334</v>
      </c>
      <c r="D196" s="4" t="s">
        <v>60</v>
      </c>
      <c r="F196" s="4">
        <v>430128</v>
      </c>
      <c r="H196" s="4">
        <v>147187</v>
      </c>
      <c r="J196" s="4">
        <f>90371+12968</f>
        <v>103339</v>
      </c>
      <c r="L196" s="4">
        <f>157224+688</f>
        <v>157912</v>
      </c>
      <c r="N196" s="4">
        <v>0</v>
      </c>
      <c r="P196" s="4">
        <f>18647+3128</f>
        <v>21775</v>
      </c>
      <c r="R196" s="4">
        <v>5841</v>
      </c>
      <c r="T196" s="4">
        <v>1579</v>
      </c>
      <c r="V196" s="4">
        <v>0</v>
      </c>
      <c r="X196" s="4">
        <v>0</v>
      </c>
      <c r="Z196" s="4">
        <v>100000</v>
      </c>
      <c r="AB196" s="4">
        <v>0</v>
      </c>
      <c r="AD196" s="4">
        <v>0</v>
      </c>
      <c r="AF196" s="4">
        <f>SUM(F196:AD196)</f>
        <v>967761</v>
      </c>
    </row>
    <row r="197" spans="1:32" s="4" customFormat="1">
      <c r="A197" s="4">
        <v>16</v>
      </c>
      <c r="B197" s="4" t="s">
        <v>461</v>
      </c>
      <c r="D197" s="4" t="s">
        <v>210</v>
      </c>
      <c r="F197" s="4">
        <v>1258375</v>
      </c>
      <c r="H197" s="4">
        <v>387929</v>
      </c>
      <c r="J197" s="4">
        <v>243779</v>
      </c>
      <c r="L197" s="4">
        <v>208603</v>
      </c>
      <c r="N197" s="4">
        <v>0</v>
      </c>
      <c r="P197" s="4">
        <v>37538</v>
      </c>
      <c r="R197" s="4">
        <v>10692</v>
      </c>
      <c r="T197" s="4">
        <v>203737</v>
      </c>
      <c r="V197" s="4">
        <v>0</v>
      </c>
      <c r="X197" s="4">
        <v>0</v>
      </c>
      <c r="Z197" s="4">
        <v>0</v>
      </c>
      <c r="AB197" s="4">
        <v>0</v>
      </c>
      <c r="AD197" s="4">
        <v>0</v>
      </c>
      <c r="AF197" s="4">
        <f>SUM(F197:AD197)</f>
        <v>2350653</v>
      </c>
    </row>
    <row r="198" spans="1:32" s="4" customFormat="1">
      <c r="A198" s="4">
        <v>228</v>
      </c>
      <c r="B198" s="4" t="s">
        <v>441</v>
      </c>
      <c r="D198" s="4" t="s">
        <v>56</v>
      </c>
      <c r="F198" s="4">
        <f>353331+62179+45868</f>
        <v>461378</v>
      </c>
      <c r="J198" s="4">
        <f>25845-66+6064+9785+49015+8957+12781+131788+258740+40500+4034</f>
        <v>547443</v>
      </c>
      <c r="L198" s="4">
        <f>11378+2218+66723+10119+690</f>
        <v>91128</v>
      </c>
      <c r="N198" s="4">
        <v>0</v>
      </c>
      <c r="P198" s="4">
        <v>8533</v>
      </c>
      <c r="R198" s="4">
        <f>1393+4934+80612</f>
        <v>86939</v>
      </c>
      <c r="T198" s="4">
        <f>27129+38465</f>
        <v>65594</v>
      </c>
      <c r="V198" s="4">
        <v>0</v>
      </c>
      <c r="X198" s="4">
        <v>0</v>
      </c>
      <c r="Z198" s="4">
        <v>5134</v>
      </c>
      <c r="AB198" s="4">
        <v>0</v>
      </c>
      <c r="AD198" s="4">
        <v>0</v>
      </c>
      <c r="AF198" s="4">
        <f>SUM(F198:AD198)</f>
        <v>1266149</v>
      </c>
    </row>
    <row r="199" spans="1:32" s="4" customFormat="1">
      <c r="A199" s="4">
        <v>33</v>
      </c>
      <c r="B199" s="4" t="s">
        <v>462</v>
      </c>
      <c r="D199" s="4" t="s">
        <v>114</v>
      </c>
      <c r="F199" s="4">
        <v>357032</v>
      </c>
      <c r="H199" s="4">
        <v>99013</v>
      </c>
      <c r="J199" s="4">
        <v>77300</v>
      </c>
      <c r="L199" s="4">
        <v>40860</v>
      </c>
      <c r="N199" s="4">
        <v>0</v>
      </c>
      <c r="P199" s="4">
        <v>22177</v>
      </c>
      <c r="R199" s="4">
        <v>3672</v>
      </c>
      <c r="T199" s="4">
        <v>3440</v>
      </c>
      <c r="V199" s="4">
        <v>0</v>
      </c>
      <c r="X199" s="4">
        <v>0</v>
      </c>
      <c r="Z199" s="4">
        <v>0</v>
      </c>
      <c r="AB199" s="4">
        <v>0</v>
      </c>
      <c r="AD199" s="4">
        <v>0</v>
      </c>
      <c r="AF199" s="4">
        <f>SUM(F199:AD199)</f>
        <v>603494</v>
      </c>
    </row>
    <row r="200" spans="1:32" s="4" customFormat="1">
      <c r="A200" s="4">
        <v>112</v>
      </c>
      <c r="B200" s="4" t="s">
        <v>341</v>
      </c>
      <c r="D200" s="4" t="s">
        <v>89</v>
      </c>
      <c r="F200" s="4">
        <v>150528</v>
      </c>
      <c r="H200" s="4">
        <f>17558+2665</f>
        <v>20223</v>
      </c>
      <c r="J200" s="4">
        <v>45524</v>
      </c>
      <c r="L200" s="4">
        <v>46699</v>
      </c>
      <c r="N200" s="4">
        <v>0</v>
      </c>
      <c r="P200" s="4">
        <v>8813</v>
      </c>
      <c r="R200" s="4">
        <v>3024</v>
      </c>
      <c r="T200" s="4">
        <v>16626</v>
      </c>
      <c r="V200" s="4">
        <v>0</v>
      </c>
      <c r="X200" s="4">
        <v>0</v>
      </c>
      <c r="Z200" s="4">
        <v>0</v>
      </c>
      <c r="AB200" s="4">
        <v>0</v>
      </c>
      <c r="AD200" s="4">
        <v>0</v>
      </c>
      <c r="AF200" s="4">
        <f>SUM(F200:AD200)</f>
        <v>291437</v>
      </c>
    </row>
    <row r="201" spans="1:32" s="4" customFormat="1">
      <c r="A201" s="4">
        <v>60</v>
      </c>
      <c r="B201" s="4" t="s">
        <v>211</v>
      </c>
      <c r="D201" s="4" t="s">
        <v>81</v>
      </c>
      <c r="F201" s="4">
        <v>170008</v>
      </c>
      <c r="H201" s="4">
        <v>36702</v>
      </c>
      <c r="J201" s="4">
        <v>59784</v>
      </c>
      <c r="L201" s="4">
        <v>33534</v>
      </c>
      <c r="N201" s="4">
        <v>0</v>
      </c>
      <c r="P201" s="4">
        <v>6251</v>
      </c>
      <c r="R201" s="4">
        <v>1273</v>
      </c>
      <c r="T201" s="4">
        <v>11881</v>
      </c>
      <c r="V201" s="4">
        <v>0</v>
      </c>
      <c r="X201" s="4">
        <v>0</v>
      </c>
      <c r="Z201" s="4">
        <v>0</v>
      </c>
      <c r="AB201" s="4">
        <v>0</v>
      </c>
      <c r="AD201" s="4">
        <v>0</v>
      </c>
      <c r="AF201" s="4">
        <f>SUM(F201:AD201)</f>
        <v>319433</v>
      </c>
    </row>
    <row r="202" spans="1:32" s="4" customFormat="1">
      <c r="A202" s="4">
        <v>186</v>
      </c>
      <c r="B202" s="4" t="s">
        <v>463</v>
      </c>
      <c r="D202" s="4" t="s">
        <v>66</v>
      </c>
      <c r="F202" s="4">
        <v>65157</v>
      </c>
      <c r="H202" s="4">
        <v>10436</v>
      </c>
      <c r="J202" s="4">
        <v>30544</v>
      </c>
      <c r="L202" s="4">
        <v>19188</v>
      </c>
      <c r="N202" s="4">
        <v>0</v>
      </c>
      <c r="P202" s="4">
        <v>3187</v>
      </c>
      <c r="R202" s="4">
        <v>424</v>
      </c>
      <c r="T202" s="4">
        <v>2213</v>
      </c>
      <c r="V202" s="4">
        <v>0</v>
      </c>
      <c r="X202" s="4">
        <v>0</v>
      </c>
      <c r="Z202" s="4">
        <v>0</v>
      </c>
      <c r="AB202" s="4">
        <v>0</v>
      </c>
      <c r="AD202" s="4">
        <v>0</v>
      </c>
      <c r="AF202" s="4">
        <f>SUM(F202:AD202)</f>
        <v>131149</v>
      </c>
    </row>
    <row r="203" spans="1:32" s="4" customFormat="1">
      <c r="A203" s="4">
        <v>235</v>
      </c>
      <c r="B203" s="4" t="s">
        <v>212</v>
      </c>
      <c r="D203" s="4" t="s">
        <v>26</v>
      </c>
      <c r="F203" s="4">
        <v>154246</v>
      </c>
      <c r="H203" s="4">
        <v>52354</v>
      </c>
      <c r="J203" s="4">
        <v>98483</v>
      </c>
      <c r="L203" s="4">
        <v>65198</v>
      </c>
      <c r="N203" s="4">
        <v>0</v>
      </c>
      <c r="P203" s="4">
        <v>16610</v>
      </c>
      <c r="R203" s="4">
        <v>9849</v>
      </c>
      <c r="T203" s="4">
        <v>2625</v>
      </c>
      <c r="V203" s="4">
        <v>10500</v>
      </c>
      <c r="X203" s="4">
        <v>13238</v>
      </c>
      <c r="Z203" s="4">
        <v>49952</v>
      </c>
      <c r="AB203" s="4">
        <v>0</v>
      </c>
      <c r="AD203" s="4">
        <v>750</v>
      </c>
      <c r="AF203" s="4">
        <f>SUM(F203:AD203)</f>
        <v>473805</v>
      </c>
    </row>
    <row r="204" spans="1:32" s="4" customFormat="1">
      <c r="A204" s="4">
        <v>229</v>
      </c>
      <c r="B204" s="4" t="s">
        <v>213</v>
      </c>
      <c r="D204" s="4" t="s">
        <v>56</v>
      </c>
      <c r="F204" s="4">
        <v>387858</v>
      </c>
      <c r="H204" s="4">
        <v>188318</v>
      </c>
      <c r="J204" s="4">
        <v>83978</v>
      </c>
      <c r="L204" s="4">
        <v>83554</v>
      </c>
      <c r="N204" s="4">
        <v>0</v>
      </c>
      <c r="P204" s="4">
        <v>17983</v>
      </c>
      <c r="R204" s="4">
        <v>8067</v>
      </c>
      <c r="T204" s="4">
        <v>14990</v>
      </c>
      <c r="V204" s="4">
        <v>0</v>
      </c>
      <c r="X204" s="4">
        <v>0</v>
      </c>
      <c r="Z204" s="4">
        <v>0</v>
      </c>
      <c r="AB204" s="4">
        <v>0</v>
      </c>
      <c r="AD204" s="4">
        <v>0</v>
      </c>
      <c r="AF204" s="4">
        <f>SUM(F204:AD204)</f>
        <v>784748</v>
      </c>
    </row>
    <row r="205" spans="1:32" s="4" customFormat="1">
      <c r="A205" s="4">
        <v>85</v>
      </c>
      <c r="B205" s="4" t="s">
        <v>216</v>
      </c>
      <c r="D205" s="4" t="s">
        <v>42</v>
      </c>
      <c r="F205" s="4">
        <v>86736</v>
      </c>
      <c r="H205" s="4">
        <v>13449</v>
      </c>
      <c r="J205" s="4">
        <v>33133</v>
      </c>
      <c r="L205" s="4">
        <v>16820</v>
      </c>
      <c r="N205" s="4">
        <v>0</v>
      </c>
      <c r="P205" s="4">
        <v>4720</v>
      </c>
      <c r="R205" s="4">
        <v>379</v>
      </c>
      <c r="T205" s="4">
        <v>1705</v>
      </c>
      <c r="V205" s="4">
        <v>0</v>
      </c>
      <c r="X205" s="4">
        <v>0</v>
      </c>
      <c r="Z205" s="4">
        <v>0</v>
      </c>
      <c r="AB205" s="4">
        <v>0</v>
      </c>
      <c r="AD205" s="4">
        <v>0</v>
      </c>
      <c r="AF205" s="4">
        <f>SUM(F205:AD205)</f>
        <v>156942</v>
      </c>
    </row>
    <row r="206" spans="1:32" s="4" customFormat="1">
      <c r="A206" s="4">
        <v>250</v>
      </c>
      <c r="B206" s="4" t="s">
        <v>217</v>
      </c>
      <c r="D206" s="4" t="s">
        <v>65</v>
      </c>
      <c r="F206" s="4">
        <v>244855</v>
      </c>
      <c r="H206" s="4">
        <v>80806</v>
      </c>
      <c r="J206" s="4">
        <v>46790</v>
      </c>
      <c r="L206" s="4">
        <v>48763</v>
      </c>
      <c r="N206" s="4">
        <v>0</v>
      </c>
      <c r="P206" s="4">
        <v>9932</v>
      </c>
      <c r="R206" s="4">
        <v>4204</v>
      </c>
      <c r="T206" s="4">
        <v>41497</v>
      </c>
      <c r="V206" s="4">
        <v>0</v>
      </c>
      <c r="X206" s="4">
        <v>0</v>
      </c>
      <c r="Z206" s="4">
        <v>92652</v>
      </c>
      <c r="AB206" s="4">
        <v>0</v>
      </c>
      <c r="AD206" s="4">
        <v>0</v>
      </c>
      <c r="AF206" s="4">
        <f>SUM(F206:AD206)</f>
        <v>569499</v>
      </c>
    </row>
    <row r="207" spans="1:32" s="4" customFormat="1">
      <c r="A207" s="4">
        <v>213</v>
      </c>
      <c r="B207" s="4" t="s">
        <v>218</v>
      </c>
      <c r="D207" s="4" t="s">
        <v>25</v>
      </c>
      <c r="F207" s="4">
        <f>343315+95833+1</f>
        <v>439149</v>
      </c>
      <c r="H207" s="4">
        <v>0</v>
      </c>
      <c r="J207" s="4">
        <v>0</v>
      </c>
      <c r="L207" s="4">
        <v>788418</v>
      </c>
      <c r="N207" s="4">
        <v>155086</v>
      </c>
      <c r="P207" s="4">
        <v>0</v>
      </c>
      <c r="R207" s="4">
        <v>633119</v>
      </c>
      <c r="T207" s="4">
        <v>750650</v>
      </c>
      <c r="V207" s="4">
        <v>0</v>
      </c>
      <c r="X207" s="4">
        <v>0</v>
      </c>
      <c r="Z207" s="4">
        <v>0</v>
      </c>
      <c r="AB207" s="4">
        <v>0</v>
      </c>
      <c r="AD207" s="4">
        <v>0</v>
      </c>
      <c r="AF207" s="4">
        <f>SUM(F207:AD207)</f>
        <v>2766422</v>
      </c>
    </row>
    <row r="208" spans="1:32" s="4" customFormat="1" ht="12" customHeight="1">
      <c r="A208" s="4">
        <v>251</v>
      </c>
      <c r="B208" s="4" t="s">
        <v>443</v>
      </c>
      <c r="D208" s="4" t="s">
        <v>65</v>
      </c>
      <c r="F208" s="4">
        <v>158357</v>
      </c>
      <c r="H208" s="4">
        <v>39983</v>
      </c>
      <c r="J208" s="4">
        <v>135701</v>
      </c>
      <c r="L208" s="4">
        <v>46918</v>
      </c>
      <c r="N208" s="4">
        <v>0</v>
      </c>
      <c r="P208" s="4">
        <v>6855</v>
      </c>
      <c r="R208" s="4">
        <v>1471</v>
      </c>
      <c r="T208" s="4">
        <v>35822</v>
      </c>
      <c r="V208" s="4">
        <v>0</v>
      </c>
      <c r="X208" s="4">
        <v>0</v>
      </c>
      <c r="Z208" s="4">
        <v>14462</v>
      </c>
      <c r="AB208" s="4">
        <v>0</v>
      </c>
      <c r="AD208" s="4">
        <v>0</v>
      </c>
      <c r="AF208" s="4">
        <f>SUM(F208:AD208)</f>
        <v>439569</v>
      </c>
    </row>
    <row r="209" spans="1:32" s="4" customFormat="1">
      <c r="A209" s="4">
        <v>113</v>
      </c>
      <c r="B209" s="4" t="s">
        <v>219</v>
      </c>
      <c r="D209" s="4" t="s">
        <v>89</v>
      </c>
      <c r="F209" s="4">
        <v>524849</v>
      </c>
      <c r="H209" s="4">
        <v>157510</v>
      </c>
      <c r="J209" s="4">
        <v>164254</v>
      </c>
      <c r="L209" s="4">
        <v>71346</v>
      </c>
      <c r="N209" s="4">
        <v>0</v>
      </c>
      <c r="P209" s="4">
        <v>15280</v>
      </c>
      <c r="R209" s="4">
        <v>5848</v>
      </c>
      <c r="T209" s="4">
        <v>17461</v>
      </c>
      <c r="V209" s="4">
        <v>22808</v>
      </c>
      <c r="X209" s="4">
        <v>2215</v>
      </c>
      <c r="Z209" s="4">
        <v>25023</v>
      </c>
      <c r="AB209" s="4">
        <v>0</v>
      </c>
      <c r="AD209" s="4">
        <v>0</v>
      </c>
      <c r="AF209" s="4">
        <f>SUM(F209:AD209)</f>
        <v>1006594</v>
      </c>
    </row>
    <row r="210" spans="1:32" s="4" customFormat="1">
      <c r="A210" s="4">
        <v>183</v>
      </c>
      <c r="B210" s="4" t="s">
        <v>220</v>
      </c>
      <c r="D210" s="4" t="s">
        <v>158</v>
      </c>
      <c r="F210" s="4">
        <v>146400</v>
      </c>
      <c r="H210" s="4">
        <v>45673</v>
      </c>
      <c r="J210" s="4">
        <v>30591</v>
      </c>
      <c r="L210" s="4">
        <v>59280</v>
      </c>
      <c r="N210" s="4">
        <v>0</v>
      </c>
      <c r="P210" s="4">
        <v>13109</v>
      </c>
      <c r="R210" s="4">
        <v>4313</v>
      </c>
      <c r="T210" s="4">
        <v>388749</v>
      </c>
      <c r="V210" s="4">
        <v>0</v>
      </c>
      <c r="X210" s="4">
        <v>0</v>
      </c>
      <c r="Z210" s="4">
        <v>0</v>
      </c>
      <c r="AB210" s="4">
        <v>0</v>
      </c>
      <c r="AD210" s="4">
        <v>0</v>
      </c>
      <c r="AF210" s="4">
        <f>SUM(F210:AD210)</f>
        <v>688115</v>
      </c>
    </row>
    <row r="211" spans="1:32" s="4" customFormat="1">
      <c r="A211" s="4">
        <v>116</v>
      </c>
      <c r="B211" s="4" t="s">
        <v>221</v>
      </c>
      <c r="D211" s="4" t="s">
        <v>170</v>
      </c>
      <c r="F211" s="4">
        <v>145325</v>
      </c>
      <c r="H211" s="4">
        <v>209</v>
      </c>
      <c r="J211" s="4">
        <v>54698</v>
      </c>
      <c r="L211" s="4">
        <v>29170</v>
      </c>
      <c r="N211" s="4">
        <v>0</v>
      </c>
      <c r="P211" s="4">
        <v>6575</v>
      </c>
      <c r="R211" s="4">
        <v>2434</v>
      </c>
      <c r="T211" s="4">
        <v>11089</v>
      </c>
      <c r="V211" s="4">
        <v>0</v>
      </c>
      <c r="X211" s="4">
        <v>0</v>
      </c>
      <c r="Z211" s="4">
        <v>0</v>
      </c>
      <c r="AB211" s="4">
        <v>0</v>
      </c>
      <c r="AD211" s="4">
        <v>0</v>
      </c>
      <c r="AF211" s="4">
        <f>SUM(F211:AD211)</f>
        <v>249500</v>
      </c>
    </row>
    <row r="212" spans="1:32" s="4" customFormat="1">
      <c r="A212" s="4">
        <v>146</v>
      </c>
      <c r="B212" s="4" t="s">
        <v>464</v>
      </c>
      <c r="D212" s="4" t="s">
        <v>57</v>
      </c>
      <c r="F212" s="4">
        <v>513688</v>
      </c>
      <c r="H212" s="4">
        <v>161872</v>
      </c>
      <c r="J212" s="4">
        <v>195323</v>
      </c>
      <c r="L212" s="4">
        <v>220909</v>
      </c>
      <c r="N212" s="4">
        <v>0</v>
      </c>
      <c r="P212" s="4">
        <v>24997</v>
      </c>
      <c r="R212" s="4">
        <v>2454</v>
      </c>
      <c r="T212" s="4">
        <v>25910</v>
      </c>
      <c r="V212" s="4">
        <v>0</v>
      </c>
      <c r="X212" s="4">
        <v>0</v>
      </c>
      <c r="Z212" s="4">
        <v>0</v>
      </c>
      <c r="AB212" s="4">
        <v>0</v>
      </c>
      <c r="AD212" s="4">
        <v>0</v>
      </c>
      <c r="AF212" s="4">
        <f>SUM(F212:AD212)</f>
        <v>1145153</v>
      </c>
    </row>
    <row r="213" spans="1:32" s="4" customFormat="1">
      <c r="A213" s="4">
        <v>246</v>
      </c>
      <c r="B213" s="4" t="s">
        <v>224</v>
      </c>
      <c r="D213" s="4" t="s">
        <v>225</v>
      </c>
      <c r="F213" s="4">
        <f>170036+60243</f>
        <v>230279</v>
      </c>
      <c r="H213" s="4">
        <v>0</v>
      </c>
      <c r="J213" s="4">
        <v>0</v>
      </c>
      <c r="L213" s="4">
        <v>481596</v>
      </c>
      <c r="N213" s="4">
        <v>122923</v>
      </c>
      <c r="P213" s="4">
        <v>0</v>
      </c>
      <c r="R213" s="4">
        <v>157307</v>
      </c>
      <c r="T213" s="4">
        <v>23784</v>
      </c>
      <c r="V213" s="4">
        <v>0</v>
      </c>
      <c r="X213" s="4">
        <v>0</v>
      </c>
      <c r="Z213" s="4">
        <v>0</v>
      </c>
      <c r="AB213" s="4">
        <v>0</v>
      </c>
      <c r="AD213" s="4">
        <v>0</v>
      </c>
      <c r="AF213" s="4">
        <f>SUM(F213:AD213)</f>
        <v>1015889</v>
      </c>
    </row>
    <row r="214" spans="1:32" s="4" customFormat="1">
      <c r="A214" s="4">
        <v>136</v>
      </c>
      <c r="B214" s="4" t="s">
        <v>226</v>
      </c>
      <c r="D214" s="4" t="s">
        <v>41</v>
      </c>
      <c r="F214" s="4">
        <v>437691</v>
      </c>
      <c r="H214" s="4">
        <v>117471</v>
      </c>
      <c r="J214" s="4">
        <v>56541</v>
      </c>
      <c r="L214" s="4">
        <v>169097</v>
      </c>
      <c r="N214" s="4">
        <v>0</v>
      </c>
      <c r="P214" s="4">
        <v>18383</v>
      </c>
      <c r="R214" s="4">
        <v>2230</v>
      </c>
      <c r="T214" s="4">
        <v>71804</v>
      </c>
      <c r="V214" s="4">
        <v>0</v>
      </c>
      <c r="X214" s="4">
        <v>0</v>
      </c>
      <c r="Z214" s="4">
        <v>0</v>
      </c>
      <c r="AB214" s="4">
        <v>0</v>
      </c>
      <c r="AD214" s="4">
        <v>0</v>
      </c>
      <c r="AF214" s="4">
        <f>SUM(F214:AD214)</f>
        <v>873217</v>
      </c>
    </row>
    <row r="215" spans="1:32" s="4" customFormat="1">
      <c r="A215" s="4">
        <v>106</v>
      </c>
      <c r="B215" s="4" t="s">
        <v>227</v>
      </c>
      <c r="D215" s="4" t="s">
        <v>60</v>
      </c>
      <c r="F215" s="4">
        <v>157915</v>
      </c>
      <c r="H215" s="4">
        <v>26795</v>
      </c>
      <c r="J215" s="4">
        <v>26937</v>
      </c>
      <c r="L215" s="4">
        <v>38392</v>
      </c>
      <c r="N215" s="4">
        <v>0</v>
      </c>
      <c r="P215" s="4">
        <v>10337</v>
      </c>
      <c r="R215" s="4">
        <v>3971</v>
      </c>
      <c r="T215" s="4">
        <v>6623</v>
      </c>
      <c r="V215" s="4">
        <v>0</v>
      </c>
      <c r="X215" s="4">
        <v>0</v>
      </c>
      <c r="Z215" s="4">
        <v>0</v>
      </c>
      <c r="AB215" s="4">
        <v>0</v>
      </c>
      <c r="AD215" s="4">
        <v>0</v>
      </c>
      <c r="AF215" s="4">
        <f>SUM(F215:AD215)</f>
        <v>270970</v>
      </c>
    </row>
    <row r="216" spans="1:32" s="4" customFormat="1">
      <c r="A216" s="4">
        <v>184</v>
      </c>
      <c r="B216" s="4" t="s">
        <v>228</v>
      </c>
      <c r="D216" s="4" t="s">
        <v>229</v>
      </c>
      <c r="F216" s="4">
        <v>452273</v>
      </c>
      <c r="H216" s="4">
        <v>129735</v>
      </c>
      <c r="J216" s="4">
        <v>97988</v>
      </c>
      <c r="L216" s="4">
        <v>65541</v>
      </c>
      <c r="N216" s="4">
        <v>0</v>
      </c>
      <c r="P216" s="4">
        <v>16537</v>
      </c>
      <c r="R216" s="4">
        <v>10331</v>
      </c>
      <c r="T216" s="4">
        <v>13504</v>
      </c>
      <c r="V216" s="4">
        <v>0</v>
      </c>
      <c r="X216" s="4">
        <v>0</v>
      </c>
      <c r="Z216" s="4">
        <v>0</v>
      </c>
      <c r="AB216" s="4">
        <v>0</v>
      </c>
      <c r="AD216" s="4">
        <v>0</v>
      </c>
      <c r="AF216" s="4">
        <f>SUM(F216:AD216)</f>
        <v>785909</v>
      </c>
    </row>
    <row r="217" spans="1:32" s="4" customFormat="1">
      <c r="A217" s="4">
        <v>252</v>
      </c>
      <c r="B217" s="4" t="s">
        <v>231</v>
      </c>
      <c r="D217" s="4" t="s">
        <v>65</v>
      </c>
      <c r="F217" s="4">
        <v>191931</v>
      </c>
      <c r="H217" s="4">
        <v>40101</v>
      </c>
      <c r="J217" s="4">
        <v>50824</v>
      </c>
      <c r="L217" s="4">
        <v>72754</v>
      </c>
      <c r="N217" s="4">
        <v>0</v>
      </c>
      <c r="P217" s="4">
        <v>10525</v>
      </c>
      <c r="R217" s="4">
        <v>1830</v>
      </c>
      <c r="T217" s="4">
        <v>195455</v>
      </c>
      <c r="V217" s="4">
        <v>87000</v>
      </c>
      <c r="X217" s="4">
        <v>12782</v>
      </c>
      <c r="Z217" s="4">
        <v>0</v>
      </c>
      <c r="AB217" s="4">
        <v>53541</v>
      </c>
      <c r="AD217" s="4">
        <v>0</v>
      </c>
      <c r="AF217" s="4">
        <f>SUM(F217:AD217)</f>
        <v>716743</v>
      </c>
    </row>
    <row r="218" spans="1:32" s="4" customFormat="1">
      <c r="A218" s="4">
        <v>219</v>
      </c>
      <c r="B218" s="4" t="s">
        <v>232</v>
      </c>
      <c r="D218" s="4" t="s">
        <v>22</v>
      </c>
      <c r="F218" s="4">
        <v>249381</v>
      </c>
      <c r="H218" s="4">
        <v>47167</v>
      </c>
      <c r="J218" s="4">
        <v>124936</v>
      </c>
      <c r="L218" s="4">
        <v>68434</v>
      </c>
      <c r="N218" s="4">
        <v>0</v>
      </c>
      <c r="P218" s="4">
        <v>6131</v>
      </c>
      <c r="R218" s="4">
        <v>2369</v>
      </c>
      <c r="T218" s="4">
        <v>4949</v>
      </c>
      <c r="V218" s="4">
        <v>0</v>
      </c>
      <c r="X218" s="4">
        <v>0</v>
      </c>
      <c r="Z218" s="4">
        <v>0</v>
      </c>
      <c r="AB218" s="4">
        <v>0</v>
      </c>
      <c r="AD218" s="4">
        <v>0</v>
      </c>
      <c r="AF218" s="4">
        <f>SUM(F218:AD218)</f>
        <v>503367</v>
      </c>
    </row>
    <row r="219" spans="1:32" s="4" customFormat="1">
      <c r="A219" s="4">
        <v>176</v>
      </c>
      <c r="B219" s="4" t="s">
        <v>233</v>
      </c>
      <c r="D219" s="4" t="s">
        <v>68</v>
      </c>
      <c r="F219" s="4">
        <v>93086</v>
      </c>
      <c r="H219" s="4">
        <v>14533</v>
      </c>
      <c r="J219" s="4">
        <v>37748</v>
      </c>
      <c r="L219" s="4">
        <v>29441</v>
      </c>
      <c r="N219" s="4">
        <v>0</v>
      </c>
      <c r="P219" s="4">
        <v>12572</v>
      </c>
      <c r="R219" s="4">
        <v>953</v>
      </c>
      <c r="T219" s="4">
        <v>86152</v>
      </c>
      <c r="V219" s="4">
        <v>0</v>
      </c>
      <c r="X219" s="4">
        <v>0</v>
      </c>
      <c r="Z219" s="4">
        <v>0</v>
      </c>
      <c r="AB219" s="4">
        <v>0</v>
      </c>
      <c r="AD219" s="4">
        <v>0</v>
      </c>
      <c r="AF219" s="4">
        <f>SUM(F219:AD219)</f>
        <v>274485</v>
      </c>
    </row>
    <row r="220" spans="1:32" s="4" customFormat="1">
      <c r="A220" s="4">
        <v>187</v>
      </c>
      <c r="B220" s="4" t="s">
        <v>607</v>
      </c>
      <c r="D220" s="4" t="s">
        <v>66</v>
      </c>
      <c r="F220" s="4">
        <v>589299</v>
      </c>
      <c r="H220" s="4">
        <v>129660</v>
      </c>
      <c r="J220" s="4">
        <v>296180</v>
      </c>
      <c r="L220" s="4">
        <v>178397</v>
      </c>
      <c r="N220" s="4">
        <v>0</v>
      </c>
      <c r="P220" s="4">
        <v>52711</v>
      </c>
      <c r="R220" s="4">
        <v>16461</v>
      </c>
      <c r="T220" s="4">
        <v>64376</v>
      </c>
      <c r="V220" s="4">
        <v>0</v>
      </c>
      <c r="X220" s="4">
        <v>0</v>
      </c>
      <c r="Z220" s="4">
        <v>0</v>
      </c>
      <c r="AB220" s="4">
        <v>0</v>
      </c>
      <c r="AD220" s="4">
        <v>0</v>
      </c>
      <c r="AF220" s="4">
        <f>SUM(F220:AD220)</f>
        <v>1327084</v>
      </c>
    </row>
    <row r="221" spans="1:32" s="4" customFormat="1">
      <c r="A221" s="4">
        <v>128</v>
      </c>
      <c r="B221" s="4" t="s">
        <v>234</v>
      </c>
      <c r="D221" s="4" t="s">
        <v>15</v>
      </c>
      <c r="F221" s="4">
        <v>487861</v>
      </c>
      <c r="H221" s="4">
        <v>147945</v>
      </c>
      <c r="J221" s="4">
        <v>156993</v>
      </c>
      <c r="L221" s="4">
        <v>130744</v>
      </c>
      <c r="N221" s="4">
        <v>0</v>
      </c>
      <c r="P221" s="4">
        <v>18725</v>
      </c>
      <c r="R221" s="4">
        <v>15468</v>
      </c>
      <c r="T221" s="4">
        <v>23245</v>
      </c>
      <c r="V221" s="4">
        <v>0</v>
      </c>
      <c r="X221" s="4">
        <v>0</v>
      </c>
      <c r="Z221" s="4">
        <v>20000</v>
      </c>
      <c r="AB221" s="4">
        <v>0</v>
      </c>
      <c r="AD221" s="4">
        <v>8450</v>
      </c>
      <c r="AF221" s="4">
        <f>SUM(F221:AD221)</f>
        <v>1009431</v>
      </c>
    </row>
    <row r="222" spans="1:32" s="4" customFormat="1">
      <c r="A222" s="4">
        <v>188</v>
      </c>
      <c r="B222" s="4" t="s">
        <v>235</v>
      </c>
      <c r="D222" s="4" t="s">
        <v>236</v>
      </c>
      <c r="F222" s="4">
        <v>2029466</v>
      </c>
      <c r="H222" s="4">
        <v>0</v>
      </c>
      <c r="J222" s="4">
        <v>0</v>
      </c>
      <c r="L222" s="4">
        <v>0</v>
      </c>
      <c r="N222" s="4">
        <v>0</v>
      </c>
      <c r="P222" s="4">
        <v>0</v>
      </c>
      <c r="R222" s="4">
        <v>0</v>
      </c>
      <c r="T222" s="4">
        <v>129283</v>
      </c>
      <c r="V222" s="4">
        <v>0</v>
      </c>
      <c r="X222" s="4">
        <v>0</v>
      </c>
      <c r="Z222" s="4">
        <v>0</v>
      </c>
      <c r="AB222" s="4">
        <v>0</v>
      </c>
      <c r="AD222" s="4">
        <v>0</v>
      </c>
      <c r="AF222" s="4">
        <f>SUM(F222:AD222)</f>
        <v>2158749</v>
      </c>
    </row>
    <row r="223" spans="1:32" s="4" customFormat="1">
      <c r="A223" s="4">
        <v>72</v>
      </c>
      <c r="B223" s="4" t="s">
        <v>312</v>
      </c>
      <c r="D223" s="4" t="s">
        <v>67</v>
      </c>
      <c r="F223" s="4">
        <v>469142</v>
      </c>
      <c r="H223" s="4">
        <v>158480</v>
      </c>
      <c r="J223" s="4">
        <v>211229</v>
      </c>
      <c r="L223" s="4">
        <v>115611</v>
      </c>
      <c r="N223" s="4">
        <v>0</v>
      </c>
      <c r="P223" s="4">
        <v>16192</v>
      </c>
      <c r="R223" s="4">
        <v>15053</v>
      </c>
      <c r="T223" s="4">
        <v>39939</v>
      </c>
      <c r="V223" s="4">
        <v>0</v>
      </c>
      <c r="X223" s="4">
        <v>0</v>
      </c>
      <c r="Z223" s="4">
        <v>0</v>
      </c>
      <c r="AB223" s="4">
        <v>0</v>
      </c>
      <c r="AD223" s="4">
        <v>0</v>
      </c>
      <c r="AF223" s="4">
        <f>SUM(F223:AD223)</f>
        <v>1025646</v>
      </c>
    </row>
    <row r="224" spans="1:32" s="4" customFormat="1">
      <c r="A224" s="4">
        <v>163</v>
      </c>
      <c r="B224" s="4" t="s">
        <v>587</v>
      </c>
      <c r="D224" s="4" t="s">
        <v>53</v>
      </c>
      <c r="F224" s="4">
        <v>478461</v>
      </c>
      <c r="H224" s="4">
        <v>170900</v>
      </c>
      <c r="J224" s="4">
        <v>217340</v>
      </c>
      <c r="L224" s="4">
        <v>102625</v>
      </c>
      <c r="N224" s="4">
        <v>0</v>
      </c>
      <c r="P224" s="4">
        <v>19016</v>
      </c>
      <c r="R224" s="4">
        <v>69</v>
      </c>
      <c r="T224" s="4">
        <v>387109</v>
      </c>
      <c r="V224" s="4">
        <v>0</v>
      </c>
      <c r="X224" s="4">
        <v>0</v>
      </c>
      <c r="Z224" s="4">
        <v>0</v>
      </c>
      <c r="AB224" s="4">
        <v>0</v>
      </c>
      <c r="AD224" s="4">
        <v>0</v>
      </c>
      <c r="AF224" s="4">
        <f>SUM(F224:AD224)</f>
        <v>1375520</v>
      </c>
    </row>
    <row r="225" spans="1:32" s="4" customFormat="1">
      <c r="A225" s="4">
        <v>151</v>
      </c>
      <c r="B225" s="4" t="s">
        <v>237</v>
      </c>
      <c r="D225" s="4" t="s">
        <v>12</v>
      </c>
      <c r="F225" s="4">
        <v>280444</v>
      </c>
      <c r="H225" s="4">
        <v>55934</v>
      </c>
      <c r="J225" s="4">
        <v>62458</v>
      </c>
      <c r="L225" s="4">
        <v>96726</v>
      </c>
      <c r="N225" s="4">
        <v>0</v>
      </c>
      <c r="P225" s="4">
        <v>9869</v>
      </c>
      <c r="R225" s="4">
        <v>29094</v>
      </c>
      <c r="T225" s="4">
        <v>23646</v>
      </c>
      <c r="V225" s="4">
        <v>0</v>
      </c>
      <c r="X225" s="4">
        <v>0</v>
      </c>
      <c r="Z225" s="4">
        <v>0</v>
      </c>
      <c r="AB225" s="4">
        <v>0</v>
      </c>
      <c r="AD225" s="4">
        <v>0</v>
      </c>
      <c r="AF225" s="4">
        <f>SUM(F225:AD225)</f>
        <v>558171</v>
      </c>
    </row>
    <row r="226" spans="1:32" s="4" customFormat="1">
      <c r="A226" s="4">
        <v>192</v>
      </c>
      <c r="B226" s="4" t="s">
        <v>608</v>
      </c>
      <c r="D226" s="4" t="s">
        <v>173</v>
      </c>
      <c r="F226" s="4">
        <v>1515883</v>
      </c>
      <c r="H226" s="4">
        <v>489545</v>
      </c>
      <c r="J226" s="4">
        <v>299095</v>
      </c>
      <c r="L226" s="4">
        <v>355932</v>
      </c>
      <c r="N226" s="4">
        <v>0</v>
      </c>
      <c r="P226" s="4">
        <v>49777</v>
      </c>
      <c r="R226" s="4">
        <v>14281</v>
      </c>
      <c r="T226" s="4">
        <v>68952</v>
      </c>
      <c r="V226" s="4">
        <v>0</v>
      </c>
      <c r="X226" s="4">
        <v>0</v>
      </c>
      <c r="Z226" s="4">
        <v>16000</v>
      </c>
      <c r="AB226" s="4">
        <v>0</v>
      </c>
      <c r="AD226" s="4">
        <v>0</v>
      </c>
      <c r="AF226" s="4">
        <f>SUM(F226:AD226)</f>
        <v>2809465</v>
      </c>
    </row>
    <row r="227" spans="1:32" s="4" customFormat="1">
      <c r="A227" s="4">
        <v>55</v>
      </c>
      <c r="B227" s="4" t="s">
        <v>445</v>
      </c>
      <c r="D227" s="4" t="s">
        <v>19</v>
      </c>
      <c r="F227" s="4">
        <v>2621522</v>
      </c>
      <c r="H227" s="4">
        <v>583077</v>
      </c>
      <c r="J227" s="4">
        <v>612811</v>
      </c>
      <c r="L227" s="4">
        <v>765476</v>
      </c>
      <c r="N227" s="4">
        <v>0</v>
      </c>
      <c r="P227" s="4">
        <v>136880</v>
      </c>
      <c r="R227" s="4">
        <v>19746</v>
      </c>
      <c r="T227" s="4">
        <v>163702</v>
      </c>
      <c r="V227" s="4">
        <v>0</v>
      </c>
      <c r="X227" s="4">
        <v>0</v>
      </c>
      <c r="Z227" s="4">
        <v>104421</v>
      </c>
      <c r="AB227" s="4">
        <v>0</v>
      </c>
      <c r="AD227" s="4">
        <v>0</v>
      </c>
      <c r="AF227" s="4">
        <f>SUM(F227:AD227)</f>
        <v>5007635</v>
      </c>
    </row>
    <row r="228" spans="1:32" s="4" customFormat="1">
      <c r="A228" s="4">
        <v>202</v>
      </c>
      <c r="B228" s="4" t="s">
        <v>23</v>
      </c>
      <c r="D228" s="4" t="s">
        <v>24</v>
      </c>
      <c r="F228" s="4">
        <v>1573150</v>
      </c>
      <c r="H228" s="4">
        <v>630312</v>
      </c>
      <c r="J228" s="4">
        <v>485075</v>
      </c>
      <c r="L228" s="4">
        <v>371984</v>
      </c>
      <c r="N228" s="4">
        <v>0</v>
      </c>
      <c r="P228" s="4">
        <v>85485</v>
      </c>
      <c r="R228" s="4">
        <v>10143</v>
      </c>
      <c r="T228" s="4">
        <v>482372</v>
      </c>
      <c r="V228" s="4">
        <v>0</v>
      </c>
      <c r="X228" s="4">
        <v>0</v>
      </c>
      <c r="Z228" s="4">
        <v>100000</v>
      </c>
      <c r="AB228" s="4">
        <v>0</v>
      </c>
      <c r="AD228" s="4">
        <v>0</v>
      </c>
      <c r="AF228" s="4">
        <f>SUM(F228:AD228)</f>
        <v>3738521</v>
      </c>
    </row>
    <row r="229" spans="1:32" s="4" customFormat="1">
      <c r="A229" s="4">
        <v>196</v>
      </c>
      <c r="B229" s="4" t="s">
        <v>609</v>
      </c>
      <c r="D229" s="4" t="s">
        <v>102</v>
      </c>
      <c r="F229" s="4">
        <v>739038</v>
      </c>
      <c r="H229" s="4">
        <v>159537</v>
      </c>
      <c r="J229" s="4">
        <v>180429</v>
      </c>
      <c r="L229" s="4">
        <v>271276</v>
      </c>
      <c r="N229" s="4">
        <v>0</v>
      </c>
      <c r="P229" s="4">
        <v>47617</v>
      </c>
      <c r="R229" s="4">
        <v>7013</v>
      </c>
      <c r="T229" s="4">
        <v>39961</v>
      </c>
      <c r="V229" s="4">
        <v>0</v>
      </c>
      <c r="X229" s="4">
        <v>0</v>
      </c>
      <c r="Z229" s="4">
        <v>0</v>
      </c>
      <c r="AB229" s="4">
        <v>0</v>
      </c>
      <c r="AD229" s="4">
        <v>0</v>
      </c>
      <c r="AF229" s="4">
        <f>SUM(F229:AD229)</f>
        <v>1444871</v>
      </c>
    </row>
    <row r="230" spans="1:32" s="4" customFormat="1">
      <c r="A230" s="4">
        <v>102</v>
      </c>
      <c r="B230" s="4" t="s">
        <v>238</v>
      </c>
      <c r="D230" s="4" t="s">
        <v>46</v>
      </c>
      <c r="F230" s="4">
        <v>282277</v>
      </c>
      <c r="H230" s="4">
        <v>97806</v>
      </c>
      <c r="J230" s="4">
        <v>102914</v>
      </c>
      <c r="L230" s="4">
        <v>50751</v>
      </c>
      <c r="N230" s="4">
        <v>0</v>
      </c>
      <c r="P230" s="4">
        <v>15420</v>
      </c>
      <c r="R230" s="4">
        <v>12564</v>
      </c>
      <c r="T230" s="4">
        <v>9754</v>
      </c>
      <c r="V230" s="4">
        <v>22034</v>
      </c>
      <c r="X230" s="4">
        <v>2832</v>
      </c>
      <c r="Z230" s="4">
        <v>0</v>
      </c>
      <c r="AB230" s="4">
        <v>0</v>
      </c>
      <c r="AD230" s="4">
        <v>0</v>
      </c>
      <c r="AF230" s="4">
        <f>SUM(F230:AD230)</f>
        <v>596352</v>
      </c>
    </row>
    <row r="231" spans="1:32" s="4" customFormat="1">
      <c r="A231" s="39">
        <v>197.1</v>
      </c>
      <c r="B231" s="3" t="s">
        <v>585</v>
      </c>
      <c r="C231" s="3"/>
      <c r="D231" s="3" t="s">
        <v>586</v>
      </c>
      <c r="E231" s="3"/>
      <c r="F231" s="4">
        <v>769149</v>
      </c>
      <c r="H231" s="4">
        <v>213599</v>
      </c>
      <c r="J231" s="4">
        <v>172153</v>
      </c>
      <c r="L231" s="4">
        <v>129439</v>
      </c>
      <c r="N231" s="4">
        <v>0</v>
      </c>
      <c r="P231" s="4">
        <v>34876</v>
      </c>
      <c r="R231" s="4">
        <v>139580</v>
      </c>
      <c r="T231" s="4">
        <v>21180</v>
      </c>
      <c r="V231" s="4">
        <v>0</v>
      </c>
      <c r="X231" s="4">
        <v>0</v>
      </c>
      <c r="Z231" s="4">
        <v>500000</v>
      </c>
      <c r="AB231" s="4">
        <v>0</v>
      </c>
      <c r="AD231" s="4">
        <v>2014</v>
      </c>
      <c r="AF231" s="4">
        <f>SUM(F231:AD231)</f>
        <v>1981990</v>
      </c>
    </row>
    <row r="232" spans="1:32" s="4" customFormat="1"/>
    <row r="233" spans="1:32" s="4" customFormat="1">
      <c r="AF233" s="47" t="s">
        <v>593</v>
      </c>
    </row>
    <row r="234" spans="1:32">
      <c r="B234" s="3" t="s">
        <v>526</v>
      </c>
    </row>
    <row r="235" spans="1:32">
      <c r="B235" s="3" t="s">
        <v>527</v>
      </c>
    </row>
    <row r="236" spans="1:32">
      <c r="B236" s="41" t="s">
        <v>7</v>
      </c>
    </row>
    <row r="238" spans="1:32" s="36" customFormat="1">
      <c r="B238" s="41"/>
      <c r="L238" s="36" t="s">
        <v>8</v>
      </c>
    </row>
    <row r="239" spans="1:32" s="36" customFormat="1">
      <c r="J239" s="36" t="s">
        <v>323</v>
      </c>
      <c r="L239" s="36" t="s">
        <v>557</v>
      </c>
      <c r="N239" s="36" t="s">
        <v>556</v>
      </c>
      <c r="X239" s="36" t="s">
        <v>330</v>
      </c>
      <c r="AD239" s="36" t="s">
        <v>0</v>
      </c>
    </row>
    <row r="240" spans="1:32" s="36" customFormat="1">
      <c r="H240" s="36" t="s">
        <v>321</v>
      </c>
      <c r="J240" s="36" t="s">
        <v>324</v>
      </c>
      <c r="L240" s="36" t="s">
        <v>325</v>
      </c>
      <c r="N240" s="36" t="s">
        <v>554</v>
      </c>
      <c r="T240" s="36" t="s">
        <v>30</v>
      </c>
      <c r="V240" s="36" t="s">
        <v>328</v>
      </c>
      <c r="X240" s="36" t="s">
        <v>331</v>
      </c>
      <c r="AD240" s="36" t="s">
        <v>296</v>
      </c>
    </row>
    <row r="241" spans="1:32" s="36" customFormat="1" ht="12" customHeight="1">
      <c r="A241" s="36" t="s">
        <v>580</v>
      </c>
      <c r="B241" s="37" t="s">
        <v>8</v>
      </c>
      <c r="C241" s="48"/>
      <c r="D241" s="37" t="s">
        <v>6</v>
      </c>
      <c r="E241" s="48"/>
      <c r="F241" s="37" t="s">
        <v>2</v>
      </c>
      <c r="G241" s="48"/>
      <c r="H241" s="37" t="s">
        <v>563</v>
      </c>
      <c r="I241" s="48"/>
      <c r="J241" s="37" t="s">
        <v>29</v>
      </c>
      <c r="K241" s="48"/>
      <c r="L241" s="37" t="s">
        <v>326</v>
      </c>
      <c r="M241" s="48"/>
      <c r="N241" s="37" t="s">
        <v>555</v>
      </c>
      <c r="O241" s="48"/>
      <c r="P241" s="37" t="s">
        <v>4</v>
      </c>
      <c r="Q241" s="48"/>
      <c r="R241" s="37" t="s">
        <v>0</v>
      </c>
      <c r="S241" s="48"/>
      <c r="T241" s="37" t="s">
        <v>327</v>
      </c>
      <c r="U241" s="48"/>
      <c r="V241" s="37" t="s">
        <v>329</v>
      </c>
      <c r="W241" s="48"/>
      <c r="X241" s="37" t="s">
        <v>332</v>
      </c>
      <c r="Y241" s="48"/>
      <c r="Z241" s="37" t="s">
        <v>506</v>
      </c>
      <c r="AA241" s="48"/>
      <c r="AB241" s="37" t="s">
        <v>507</v>
      </c>
      <c r="AC241" s="48"/>
      <c r="AD241" s="37" t="s">
        <v>333</v>
      </c>
      <c r="AE241" s="48"/>
      <c r="AF241" s="49" t="s">
        <v>28</v>
      </c>
    </row>
    <row r="242" spans="1:32" s="4" customFormat="1">
      <c r="A242" s="4">
        <v>193</v>
      </c>
      <c r="B242" s="3" t="s">
        <v>239</v>
      </c>
      <c r="C242" s="3"/>
      <c r="D242" s="3" t="s">
        <v>173</v>
      </c>
      <c r="E242" s="3"/>
      <c r="F242" s="7">
        <v>699681</v>
      </c>
      <c r="G242" s="7"/>
      <c r="H242" s="7">
        <v>193063</v>
      </c>
      <c r="I242" s="7"/>
      <c r="J242" s="7">
        <v>614109</v>
      </c>
      <c r="K242" s="7"/>
      <c r="L242" s="7">
        <v>222109</v>
      </c>
      <c r="M242" s="7"/>
      <c r="N242" s="7">
        <v>0</v>
      </c>
      <c r="O242" s="7"/>
      <c r="P242" s="7">
        <v>25458</v>
      </c>
      <c r="Q242" s="7"/>
      <c r="R242" s="7">
        <v>2290</v>
      </c>
      <c r="S242" s="7"/>
      <c r="T242" s="7">
        <v>567676</v>
      </c>
      <c r="U242" s="7"/>
      <c r="V242" s="7">
        <v>0</v>
      </c>
      <c r="W242" s="7"/>
      <c r="X242" s="7">
        <v>0</v>
      </c>
      <c r="Y242" s="7"/>
      <c r="Z242" s="7">
        <v>0</v>
      </c>
      <c r="AA242" s="7"/>
      <c r="AB242" s="7">
        <v>0</v>
      </c>
      <c r="AC242" s="7"/>
      <c r="AD242" s="7">
        <v>49</v>
      </c>
      <c r="AE242" s="7"/>
      <c r="AF242" s="7">
        <f>SUM(F242:AD242)</f>
        <v>2324435</v>
      </c>
    </row>
    <row r="243" spans="1:32" s="4" customFormat="1">
      <c r="A243" s="4">
        <v>153</v>
      </c>
      <c r="B243" s="4" t="s">
        <v>313</v>
      </c>
      <c r="D243" s="4" t="s">
        <v>215</v>
      </c>
      <c r="F243" s="4">
        <v>6366373</v>
      </c>
      <c r="H243" s="4">
        <v>2075736</v>
      </c>
      <c r="J243" s="4">
        <v>2061740</v>
      </c>
      <c r="L243" s="4">
        <v>1745214</v>
      </c>
      <c r="N243" s="4">
        <v>0</v>
      </c>
      <c r="P243" s="4">
        <v>221518</v>
      </c>
      <c r="R243" s="4">
        <v>50116</v>
      </c>
      <c r="T243" s="4">
        <v>6049783</v>
      </c>
      <c r="V243" s="4">
        <v>0</v>
      </c>
      <c r="X243" s="4">
        <v>0</v>
      </c>
      <c r="Z243" s="4">
        <v>1644000</v>
      </c>
      <c r="AB243" s="4">
        <v>0</v>
      </c>
      <c r="AD243" s="4">
        <v>0</v>
      </c>
      <c r="AF243" s="4">
        <f>SUM(F243:AD243)</f>
        <v>20214480</v>
      </c>
    </row>
    <row r="244" spans="1:32" s="4" customFormat="1">
      <c r="A244" s="4">
        <v>238</v>
      </c>
      <c r="B244" s="4" t="s">
        <v>241</v>
      </c>
      <c r="D244" s="4" t="s">
        <v>193</v>
      </c>
      <c r="F244" s="4">
        <v>126296</v>
      </c>
      <c r="H244" s="4">
        <v>46800</v>
      </c>
      <c r="J244" s="4">
        <v>71203</v>
      </c>
      <c r="L244" s="4">
        <v>47452</v>
      </c>
      <c r="N244" s="4">
        <v>0</v>
      </c>
      <c r="P244" s="4">
        <v>4726</v>
      </c>
      <c r="R244" s="4">
        <v>1070</v>
      </c>
      <c r="T244" s="4">
        <v>2330</v>
      </c>
      <c r="V244" s="4">
        <v>20753</v>
      </c>
      <c r="X244" s="4">
        <v>21299</v>
      </c>
      <c r="Z244" s="4">
        <v>0</v>
      </c>
      <c r="AB244" s="4">
        <v>0</v>
      </c>
      <c r="AD244" s="4">
        <v>0</v>
      </c>
      <c r="AF244" s="4">
        <f>SUM(F244:AD244)</f>
        <v>341929</v>
      </c>
    </row>
    <row r="245" spans="1:32" s="4" customFormat="1">
      <c r="A245" s="4">
        <v>100</v>
      </c>
      <c r="B245" s="4" t="s">
        <v>314</v>
      </c>
      <c r="D245" s="4" t="s">
        <v>61</v>
      </c>
      <c r="F245" s="4">
        <v>65707</v>
      </c>
      <c r="H245" s="4">
        <v>10338</v>
      </c>
      <c r="J245" s="4">
        <v>35791</v>
      </c>
      <c r="L245" s="4">
        <v>15755</v>
      </c>
      <c r="N245" s="4">
        <v>0</v>
      </c>
      <c r="P245" s="4">
        <v>4594</v>
      </c>
      <c r="R245" s="4">
        <v>1020</v>
      </c>
      <c r="T245" s="4">
        <v>3654</v>
      </c>
      <c r="V245" s="4">
        <v>0</v>
      </c>
      <c r="X245" s="4">
        <v>0</v>
      </c>
      <c r="Z245" s="4">
        <v>0</v>
      </c>
      <c r="AB245" s="4">
        <v>0</v>
      </c>
      <c r="AD245" s="4">
        <v>0</v>
      </c>
      <c r="AF245" s="4">
        <f>SUM(F245:AD245)</f>
        <v>136859</v>
      </c>
    </row>
    <row r="246" spans="1:32" s="4" customFormat="1">
      <c r="A246" s="4">
        <v>68</v>
      </c>
      <c r="B246" s="4" t="s">
        <v>467</v>
      </c>
      <c r="D246" s="4" t="s">
        <v>167</v>
      </c>
      <c r="F246" s="4">
        <v>555200</v>
      </c>
      <c r="H246" s="4">
        <v>127256</v>
      </c>
      <c r="J246" s="4">
        <v>554632</v>
      </c>
      <c r="L246" s="4">
        <v>188835</v>
      </c>
      <c r="N246" s="4">
        <v>0</v>
      </c>
      <c r="P246" s="4">
        <v>21944</v>
      </c>
      <c r="R246" s="4">
        <v>10474</v>
      </c>
      <c r="T246" s="4">
        <v>73035</v>
      </c>
      <c r="V246" s="4">
        <v>0</v>
      </c>
      <c r="X246" s="4">
        <v>0</v>
      </c>
      <c r="Z246" s="4">
        <v>124000</v>
      </c>
      <c r="AB246" s="4">
        <v>0</v>
      </c>
      <c r="AD246" s="4">
        <v>0</v>
      </c>
      <c r="AF246" s="4">
        <f>SUM(F246:AD246)</f>
        <v>1655376</v>
      </c>
    </row>
    <row r="247" spans="1:32" s="4" customFormat="1">
      <c r="A247" s="4">
        <v>15</v>
      </c>
      <c r="B247" s="4" t="s">
        <v>243</v>
      </c>
      <c r="D247" s="4" t="s">
        <v>43</v>
      </c>
      <c r="F247" s="4">
        <v>86852</v>
      </c>
      <c r="H247" s="4">
        <v>13475</v>
      </c>
      <c r="J247" s="4">
        <v>43969</v>
      </c>
      <c r="L247" s="4">
        <v>44674</v>
      </c>
      <c r="N247" s="4">
        <v>0</v>
      </c>
      <c r="P247" s="4">
        <v>6455</v>
      </c>
      <c r="R247" s="4">
        <v>6532</v>
      </c>
      <c r="T247" s="4">
        <v>5969</v>
      </c>
      <c r="V247" s="4">
        <v>0</v>
      </c>
      <c r="X247" s="4">
        <v>0</v>
      </c>
      <c r="Z247" s="4">
        <v>0</v>
      </c>
      <c r="AB247" s="4">
        <v>0</v>
      </c>
      <c r="AD247" s="4">
        <v>3000</v>
      </c>
      <c r="AF247" s="4">
        <f>SUM(F247:AD247)</f>
        <v>210926</v>
      </c>
    </row>
    <row r="248" spans="1:32" s="4" customFormat="1">
      <c r="A248" s="4">
        <v>161</v>
      </c>
      <c r="B248" s="4" t="s">
        <v>343</v>
      </c>
      <c r="D248" s="4" t="s">
        <v>50</v>
      </c>
      <c r="F248" s="4">
        <v>93738</v>
      </c>
      <c r="H248" s="4">
        <v>39592</v>
      </c>
      <c r="J248" s="4">
        <v>23365</v>
      </c>
      <c r="L248" s="4">
        <v>30282</v>
      </c>
      <c r="N248" s="4">
        <v>0</v>
      </c>
      <c r="P248" s="4">
        <v>19082</v>
      </c>
      <c r="R248" s="4">
        <v>1956</v>
      </c>
      <c r="T248" s="4">
        <v>2395</v>
      </c>
      <c r="V248" s="4">
        <v>0</v>
      </c>
      <c r="X248" s="4">
        <v>0</v>
      </c>
      <c r="Z248" s="4">
        <v>0</v>
      </c>
      <c r="AB248" s="4">
        <v>21853</v>
      </c>
      <c r="AD248" s="4">
        <v>0</v>
      </c>
      <c r="AF248" s="4">
        <f>SUM(F248:AD248)</f>
        <v>232263</v>
      </c>
    </row>
    <row r="249" spans="1:32" s="4" customFormat="1">
      <c r="A249" s="4">
        <v>56</v>
      </c>
      <c r="B249" s="4" t="s">
        <v>244</v>
      </c>
      <c r="D249" s="4" t="s">
        <v>19</v>
      </c>
      <c r="F249" s="4">
        <v>2336018</v>
      </c>
      <c r="H249" s="4">
        <v>492779</v>
      </c>
      <c r="J249" s="4">
        <v>454019</v>
      </c>
      <c r="L249" s="4">
        <v>576257</v>
      </c>
      <c r="N249" s="4">
        <v>0</v>
      </c>
      <c r="P249" s="4">
        <v>90925</v>
      </c>
      <c r="R249" s="4">
        <v>23748</v>
      </c>
      <c r="T249" s="4">
        <v>468435</v>
      </c>
      <c r="V249" s="4">
        <v>180000</v>
      </c>
      <c r="X249" s="4">
        <v>62175</v>
      </c>
      <c r="Z249" s="4">
        <v>500000</v>
      </c>
      <c r="AB249" s="4">
        <v>0</v>
      </c>
      <c r="AD249" s="4">
        <v>0</v>
      </c>
      <c r="AF249" s="4">
        <f>SUM(F249:AD249)</f>
        <v>5184356</v>
      </c>
    </row>
    <row r="250" spans="1:32" s="4" customFormat="1">
      <c r="A250" s="4">
        <v>214</v>
      </c>
      <c r="B250" s="4" t="s">
        <v>245</v>
      </c>
      <c r="D250" s="4" t="s">
        <v>25</v>
      </c>
      <c r="F250" s="4">
        <f>912356+127539+109900+23821</f>
        <v>1173616</v>
      </c>
      <c r="J250" s="4">
        <f>3012+356+7089+9670+50282+89466+58390+37148</f>
        <v>255413</v>
      </c>
      <c r="L250" s="4">
        <f>155668+21995+31928+79263+3644+25411</f>
        <v>317909</v>
      </c>
      <c r="N250" s="4">
        <v>0</v>
      </c>
      <c r="P250" s="4">
        <f>33901+4553+4169+472</f>
        <v>43095</v>
      </c>
      <c r="R250" s="4">
        <f>5676+397+15604</f>
        <v>21677</v>
      </c>
      <c r="T250" s="4">
        <f>558+901+17467+6797</f>
        <v>25723</v>
      </c>
      <c r="V250" s="4">
        <v>0</v>
      </c>
      <c r="X250" s="4">
        <v>0</v>
      </c>
      <c r="Z250" s="4">
        <v>0</v>
      </c>
      <c r="AB250" s="4">
        <v>0</v>
      </c>
      <c r="AD250" s="4">
        <v>0</v>
      </c>
      <c r="AF250" s="4">
        <f>SUM(F250:AD250)</f>
        <v>1837433</v>
      </c>
    </row>
    <row r="251" spans="1:32" s="4" customFormat="1">
      <c r="A251" s="4">
        <v>253</v>
      </c>
      <c r="B251" s="4" t="s">
        <v>246</v>
      </c>
      <c r="D251" s="4" t="s">
        <v>65</v>
      </c>
      <c r="F251" s="4">
        <v>395892</v>
      </c>
      <c r="H251" s="4">
        <v>137194</v>
      </c>
      <c r="J251" s="4">
        <v>129782</v>
      </c>
      <c r="L251" s="4">
        <v>137523</v>
      </c>
      <c r="N251" s="4">
        <v>0</v>
      </c>
      <c r="P251" s="4">
        <v>16857</v>
      </c>
      <c r="R251" s="4">
        <v>7879</v>
      </c>
      <c r="T251" s="4">
        <v>147494</v>
      </c>
      <c r="V251" s="4">
        <v>0</v>
      </c>
      <c r="X251" s="4">
        <v>0</v>
      </c>
      <c r="Z251" s="4">
        <v>0</v>
      </c>
      <c r="AB251" s="4">
        <v>0</v>
      </c>
      <c r="AD251" s="4">
        <v>0</v>
      </c>
      <c r="AF251" s="4">
        <f>SUM(F251:AD251)</f>
        <v>972621</v>
      </c>
    </row>
    <row r="252" spans="1:32" s="4" customFormat="1">
      <c r="A252" s="4">
        <v>36</v>
      </c>
      <c r="B252" s="4" t="s">
        <v>247</v>
      </c>
      <c r="D252" s="4" t="s">
        <v>69</v>
      </c>
      <c r="F252" s="4">
        <v>128001</v>
      </c>
      <c r="H252" s="4">
        <v>45998</v>
      </c>
      <c r="J252" s="4">
        <v>24594</v>
      </c>
      <c r="L252" s="4">
        <v>65320</v>
      </c>
      <c r="N252" s="4">
        <v>0</v>
      </c>
      <c r="P252" s="4">
        <v>13472</v>
      </c>
      <c r="R252" s="4">
        <v>2796</v>
      </c>
      <c r="T252" s="4">
        <v>8862</v>
      </c>
      <c r="V252" s="4">
        <v>0</v>
      </c>
      <c r="X252" s="4">
        <v>0</v>
      </c>
      <c r="Z252" s="4">
        <v>0</v>
      </c>
      <c r="AB252" s="4">
        <v>0</v>
      </c>
      <c r="AD252" s="4">
        <v>259</v>
      </c>
      <c r="AF252" s="4">
        <f>SUM(F252:AD252)</f>
        <v>289302</v>
      </c>
    </row>
    <row r="253" spans="1:32" s="4" customFormat="1">
      <c r="A253" s="4">
        <v>30</v>
      </c>
      <c r="B253" s="4" t="s">
        <v>347</v>
      </c>
      <c r="D253" s="4" t="s">
        <v>62</v>
      </c>
      <c r="F253" s="4">
        <v>151930</v>
      </c>
      <c r="H253" s="4">
        <v>72224</v>
      </c>
      <c r="J253" s="4">
        <v>69045</v>
      </c>
      <c r="L253" s="4">
        <v>34745</v>
      </c>
      <c r="N253" s="4">
        <v>0</v>
      </c>
      <c r="P253" s="4">
        <v>11142</v>
      </c>
      <c r="R253" s="4">
        <v>1944</v>
      </c>
      <c r="T253" s="4">
        <v>500</v>
      </c>
      <c r="V253" s="4">
        <v>0</v>
      </c>
      <c r="X253" s="4">
        <v>0</v>
      </c>
      <c r="Z253" s="4">
        <v>50000</v>
      </c>
      <c r="AB253" s="4">
        <v>0</v>
      </c>
      <c r="AD253" s="4">
        <v>0</v>
      </c>
      <c r="AF253" s="4">
        <f>SUM(F253:AD253)</f>
        <v>391530</v>
      </c>
    </row>
    <row r="254" spans="1:32" s="4" customFormat="1">
      <c r="A254" s="4">
        <v>43</v>
      </c>
      <c r="B254" s="4" t="s">
        <v>248</v>
      </c>
      <c r="D254" s="4" t="s">
        <v>51</v>
      </c>
      <c r="F254" s="4">
        <v>480884</v>
      </c>
      <c r="H254" s="4">
        <v>101499</v>
      </c>
      <c r="J254" s="4">
        <v>160690</v>
      </c>
      <c r="L254" s="4">
        <v>151623</v>
      </c>
      <c r="N254" s="4">
        <v>0</v>
      </c>
      <c r="P254" s="4">
        <v>18390</v>
      </c>
      <c r="R254" s="4">
        <v>8781</v>
      </c>
      <c r="T254" s="4">
        <v>33808</v>
      </c>
      <c r="V254" s="4">
        <v>0</v>
      </c>
      <c r="X254" s="4">
        <v>0</v>
      </c>
      <c r="Z254" s="4">
        <v>0</v>
      </c>
      <c r="AB254" s="4">
        <v>0</v>
      </c>
      <c r="AD254" s="4">
        <v>0</v>
      </c>
      <c r="AF254" s="4">
        <f>SUM(F254:AD254)</f>
        <v>955675</v>
      </c>
    </row>
    <row r="255" spans="1:32" s="4" customFormat="1">
      <c r="A255" s="4">
        <v>244</v>
      </c>
      <c r="B255" s="4" t="s">
        <v>249</v>
      </c>
      <c r="D255" s="4" t="s">
        <v>54</v>
      </c>
      <c r="F255" s="4">
        <v>439316</v>
      </c>
      <c r="H255" s="4">
        <v>56082</v>
      </c>
      <c r="J255" s="4">
        <v>113667</v>
      </c>
      <c r="L255" s="4">
        <v>25975</v>
      </c>
      <c r="N255" s="4">
        <v>0</v>
      </c>
      <c r="P255" s="4">
        <v>5443</v>
      </c>
      <c r="R255" s="4">
        <v>8112</v>
      </c>
      <c r="T255" s="4">
        <v>822</v>
      </c>
      <c r="V255" s="4">
        <v>0</v>
      </c>
      <c r="X255" s="4">
        <v>0</v>
      </c>
      <c r="Z255" s="4">
        <v>0</v>
      </c>
      <c r="AB255" s="4">
        <v>0</v>
      </c>
      <c r="AD255" s="4">
        <v>0</v>
      </c>
      <c r="AF255" s="4">
        <f>SUM(F255:AD255)</f>
        <v>649417</v>
      </c>
    </row>
    <row r="256" spans="1:32" s="4" customFormat="1">
      <c r="A256" s="4">
        <v>69</v>
      </c>
      <c r="B256" s="4" t="s">
        <v>315</v>
      </c>
      <c r="D256" s="4" t="s">
        <v>167</v>
      </c>
      <c r="F256" s="4">
        <v>1390763</v>
      </c>
      <c r="H256" s="4">
        <v>482805</v>
      </c>
      <c r="J256" s="4">
        <v>623476</v>
      </c>
      <c r="L256" s="4">
        <v>255195</v>
      </c>
      <c r="N256" s="4">
        <v>0</v>
      </c>
      <c r="P256" s="4">
        <v>56427</v>
      </c>
      <c r="R256" s="4">
        <v>21542</v>
      </c>
      <c r="T256" s="4">
        <v>111213</v>
      </c>
      <c r="V256" s="4">
        <v>0</v>
      </c>
      <c r="X256" s="4">
        <v>0</v>
      </c>
      <c r="Z256" s="4">
        <v>13099</v>
      </c>
      <c r="AB256" s="4">
        <v>0</v>
      </c>
      <c r="AD256" s="4">
        <v>0</v>
      </c>
      <c r="AF256" s="4">
        <f>SUM(F256:AD256)</f>
        <v>2954520</v>
      </c>
    </row>
    <row r="257" spans="1:32" s="4" customFormat="1">
      <c r="A257" s="4">
        <v>177</v>
      </c>
      <c r="B257" s="4" t="s">
        <v>250</v>
      </c>
      <c r="D257" s="4" t="s">
        <v>68</v>
      </c>
      <c r="F257" s="4">
        <v>180451</v>
      </c>
      <c r="H257" s="4">
        <v>29289</v>
      </c>
      <c r="J257" s="4">
        <v>44170</v>
      </c>
      <c r="L257" s="4">
        <v>41929</v>
      </c>
      <c r="N257" s="4">
        <v>0</v>
      </c>
      <c r="P257" s="4">
        <v>11271</v>
      </c>
      <c r="R257" s="4">
        <v>2190</v>
      </c>
      <c r="T257" s="4">
        <v>169</v>
      </c>
      <c r="V257" s="4">
        <v>0</v>
      </c>
      <c r="X257" s="4">
        <v>0</v>
      </c>
      <c r="Z257" s="4">
        <v>0</v>
      </c>
      <c r="AB257" s="4">
        <v>0</v>
      </c>
      <c r="AD257" s="4">
        <v>0</v>
      </c>
      <c r="AF257" s="4">
        <f>SUM(F257:AD257)</f>
        <v>309469</v>
      </c>
    </row>
    <row r="258" spans="1:32" s="4" customFormat="1">
      <c r="A258" s="4">
        <v>206</v>
      </c>
      <c r="B258" s="4" t="s">
        <v>251</v>
      </c>
      <c r="D258" s="4" t="s">
        <v>45</v>
      </c>
      <c r="F258" s="4">
        <v>84195</v>
      </c>
      <c r="H258" s="4">
        <v>12561</v>
      </c>
      <c r="J258" s="4">
        <v>40933</v>
      </c>
      <c r="L258" s="4">
        <v>17801</v>
      </c>
      <c r="N258" s="4">
        <v>0</v>
      </c>
      <c r="P258" s="4">
        <v>6410</v>
      </c>
      <c r="R258" s="4">
        <v>11255</v>
      </c>
      <c r="T258" s="4">
        <v>5914</v>
      </c>
      <c r="V258" s="4">
        <v>5784</v>
      </c>
      <c r="X258" s="4">
        <v>3791</v>
      </c>
      <c r="Z258" s="4">
        <v>9576</v>
      </c>
      <c r="AB258" s="4">
        <v>0</v>
      </c>
      <c r="AD258" s="4">
        <v>0</v>
      </c>
      <c r="AF258" s="4">
        <f>SUM(F258:AD258)</f>
        <v>198220</v>
      </c>
    </row>
    <row r="259" spans="1:32" s="4" customFormat="1">
      <c r="A259" s="4">
        <v>57</v>
      </c>
      <c r="B259" s="4" t="s">
        <v>252</v>
      </c>
      <c r="D259" s="4" t="s">
        <v>19</v>
      </c>
      <c r="F259" s="4">
        <v>2845851</v>
      </c>
      <c r="H259" s="4">
        <v>803125</v>
      </c>
      <c r="J259" s="4">
        <v>846078</v>
      </c>
      <c r="L259" s="4">
        <v>769414</v>
      </c>
      <c r="N259" s="4">
        <v>0</v>
      </c>
      <c r="P259" s="4">
        <v>94645</v>
      </c>
      <c r="R259" s="4">
        <v>21795</v>
      </c>
      <c r="T259" s="4">
        <v>53587</v>
      </c>
      <c r="V259" s="4">
        <v>0</v>
      </c>
      <c r="X259" s="4">
        <v>0</v>
      </c>
      <c r="Z259" s="4">
        <v>85465</v>
      </c>
      <c r="AB259" s="4">
        <v>0</v>
      </c>
      <c r="AD259" s="4">
        <v>0</v>
      </c>
      <c r="AF259" s="4">
        <f>SUM(F259:AD259)</f>
        <v>5519960</v>
      </c>
    </row>
    <row r="260" spans="1:32" s="4" customFormat="1">
      <c r="A260" s="4">
        <v>118</v>
      </c>
      <c r="B260" s="4" t="s">
        <v>447</v>
      </c>
      <c r="D260" s="4" t="s">
        <v>170</v>
      </c>
      <c r="F260" s="4">
        <v>109910</v>
      </c>
      <c r="H260" s="4">
        <f>5833+28507</f>
        <v>34340</v>
      </c>
      <c r="J260" s="4">
        <f>25659+49701+2372</f>
        <v>77732</v>
      </c>
      <c r="L260" s="4">
        <v>716</v>
      </c>
      <c r="N260" s="4">
        <v>0</v>
      </c>
      <c r="P260" s="4">
        <f>678+1009</f>
        <v>1687</v>
      </c>
      <c r="R260" s="4">
        <v>1292</v>
      </c>
      <c r="T260" s="4">
        <f>25250+11002</f>
        <v>36252</v>
      </c>
      <c r="V260" s="4">
        <v>0</v>
      </c>
      <c r="X260" s="4">
        <v>0</v>
      </c>
      <c r="Z260" s="4">
        <v>0</v>
      </c>
      <c r="AB260" s="4">
        <v>0</v>
      </c>
      <c r="AD260" s="4">
        <v>0</v>
      </c>
      <c r="AF260" s="4">
        <f>SUM(F260:AD260)</f>
        <v>261929</v>
      </c>
    </row>
    <row r="261" spans="1:32" s="4" customFormat="1">
      <c r="A261" s="4">
        <v>79</v>
      </c>
      <c r="B261" s="4" t="s">
        <v>254</v>
      </c>
      <c r="D261" s="4" t="s">
        <v>92</v>
      </c>
      <c r="F261" s="4">
        <v>2058786</v>
      </c>
      <c r="H261" s="4">
        <v>628833</v>
      </c>
      <c r="J261" s="4">
        <v>937388</v>
      </c>
      <c r="L261" s="4">
        <v>466754</v>
      </c>
      <c r="N261" s="4">
        <v>0</v>
      </c>
      <c r="P261" s="4">
        <v>101560</v>
      </c>
      <c r="R261" s="4">
        <v>34760</v>
      </c>
      <c r="T261" s="4">
        <v>76558</v>
      </c>
      <c r="V261" s="4">
        <v>0</v>
      </c>
      <c r="X261" s="4">
        <v>0</v>
      </c>
      <c r="Z261" s="4">
        <v>0</v>
      </c>
      <c r="AB261" s="4">
        <v>0</v>
      </c>
      <c r="AD261" s="4">
        <v>0</v>
      </c>
      <c r="AF261" s="4">
        <f>SUM(F261:AD261)</f>
        <v>4304639</v>
      </c>
    </row>
    <row r="262" spans="1:32" s="4" customFormat="1">
      <c r="A262" s="4">
        <v>22</v>
      </c>
      <c r="B262" s="4" t="s">
        <v>316</v>
      </c>
      <c r="D262" s="4" t="s">
        <v>13</v>
      </c>
      <c r="F262" s="4">
        <v>279881</v>
      </c>
      <c r="H262" s="4">
        <v>58336</v>
      </c>
      <c r="J262" s="4">
        <v>96537</v>
      </c>
      <c r="L262" s="4">
        <v>66169</v>
      </c>
      <c r="N262" s="4">
        <v>0</v>
      </c>
      <c r="P262" s="4">
        <v>12638</v>
      </c>
      <c r="R262" s="4">
        <v>3947</v>
      </c>
      <c r="T262" s="4">
        <v>61181</v>
      </c>
      <c r="V262" s="4">
        <v>0</v>
      </c>
      <c r="X262" s="4">
        <v>0</v>
      </c>
      <c r="Z262" s="4">
        <v>0</v>
      </c>
      <c r="AB262" s="4">
        <v>0</v>
      </c>
      <c r="AD262" s="4">
        <v>0</v>
      </c>
      <c r="AF262" s="4">
        <f>SUM(F262:AD262)</f>
        <v>578689</v>
      </c>
    </row>
    <row r="263" spans="1:32" s="4" customFormat="1">
      <c r="A263" s="4">
        <v>18</v>
      </c>
      <c r="B263" s="4" t="s">
        <v>344</v>
      </c>
      <c r="D263" s="4" t="s">
        <v>44</v>
      </c>
      <c r="F263" s="4">
        <v>291527</v>
      </c>
      <c r="H263" s="4">
        <v>70489</v>
      </c>
      <c r="J263" s="4">
        <v>95726</v>
      </c>
      <c r="L263" s="4">
        <v>69627</v>
      </c>
      <c r="N263" s="4">
        <v>0</v>
      </c>
      <c r="P263" s="4">
        <v>23202</v>
      </c>
      <c r="R263" s="4">
        <v>6036</v>
      </c>
      <c r="T263" s="4">
        <v>16621</v>
      </c>
      <c r="V263" s="4">
        <v>0</v>
      </c>
      <c r="X263" s="4">
        <v>0</v>
      </c>
      <c r="Z263" s="4">
        <v>0</v>
      </c>
      <c r="AB263" s="4">
        <v>0</v>
      </c>
      <c r="AD263" s="4">
        <v>0</v>
      </c>
      <c r="AF263" s="4">
        <f>SUM(F263:AD263)</f>
        <v>573228</v>
      </c>
    </row>
    <row r="264" spans="1:32" s="4" customFormat="1">
      <c r="A264" s="4">
        <v>215</v>
      </c>
      <c r="B264" s="4" t="s">
        <v>594</v>
      </c>
      <c r="D264" s="4" t="s">
        <v>25</v>
      </c>
      <c r="F264" s="4">
        <f>1709818+685815</f>
        <v>2395633</v>
      </c>
      <c r="H264" s="4">
        <v>0</v>
      </c>
      <c r="J264" s="4">
        <v>0</v>
      </c>
      <c r="L264" s="4">
        <v>7761829</v>
      </c>
      <c r="N264" s="4">
        <v>967152</v>
      </c>
      <c r="P264" s="4">
        <v>0</v>
      </c>
      <c r="R264" s="4">
        <v>2692458</v>
      </c>
      <c r="T264" s="4">
        <v>824947</v>
      </c>
      <c r="V264" s="4">
        <v>0</v>
      </c>
      <c r="X264" s="4">
        <v>0</v>
      </c>
      <c r="Z264" s="4">
        <v>0</v>
      </c>
      <c r="AB264" s="4">
        <v>0</v>
      </c>
      <c r="AD264" s="4">
        <v>0</v>
      </c>
      <c r="AF264" s="4">
        <f>SUM(F264:AD264)</f>
        <v>14642019</v>
      </c>
    </row>
    <row r="265" spans="1:32" s="4" customFormat="1">
      <c r="A265" s="4">
        <v>120</v>
      </c>
      <c r="B265" s="4" t="s">
        <v>256</v>
      </c>
      <c r="D265" s="4" t="s">
        <v>257</v>
      </c>
      <c r="F265" s="4">
        <v>1507276</v>
      </c>
      <c r="H265" s="4">
        <v>643891</v>
      </c>
      <c r="J265" s="4">
        <v>572985</v>
      </c>
      <c r="L265" s="4">
        <v>373603</v>
      </c>
      <c r="N265" s="4">
        <v>0</v>
      </c>
      <c r="P265" s="4">
        <v>94589</v>
      </c>
      <c r="R265" s="4">
        <v>14248</v>
      </c>
      <c r="T265" s="4">
        <v>268163</v>
      </c>
      <c r="V265" s="4">
        <v>0</v>
      </c>
      <c r="X265" s="4">
        <v>0</v>
      </c>
      <c r="Z265" s="4">
        <v>300000</v>
      </c>
      <c r="AB265" s="4">
        <v>0</v>
      </c>
      <c r="AD265" s="4">
        <v>0</v>
      </c>
      <c r="AF265" s="4">
        <f>SUM(F265:AD265)</f>
        <v>3774755</v>
      </c>
    </row>
    <row r="266" spans="1:32" s="4" customFormat="1">
      <c r="A266" s="4">
        <v>220</v>
      </c>
      <c r="B266" s="4" t="s">
        <v>258</v>
      </c>
      <c r="D266" s="4" t="s">
        <v>22</v>
      </c>
      <c r="F266" s="4">
        <v>241572</v>
      </c>
      <c r="H266" s="4">
        <v>0</v>
      </c>
      <c r="J266" s="4">
        <v>0</v>
      </c>
      <c r="L266" s="4">
        <v>1033464</v>
      </c>
      <c r="N266" s="4">
        <v>454435</v>
      </c>
      <c r="P266" s="4">
        <v>0</v>
      </c>
      <c r="R266" s="4">
        <v>555017</v>
      </c>
      <c r="T266" s="4">
        <v>53866</v>
      </c>
      <c r="V266" s="4">
        <v>0</v>
      </c>
      <c r="X266" s="4">
        <v>0</v>
      </c>
      <c r="Z266" s="4">
        <v>0</v>
      </c>
      <c r="AB266" s="4">
        <v>0</v>
      </c>
      <c r="AD266" s="4">
        <v>0</v>
      </c>
      <c r="AF266" s="4">
        <f>SUM(F266:AD266)</f>
        <v>2338354</v>
      </c>
    </row>
    <row r="267" spans="1:32" s="4" customFormat="1">
      <c r="A267" s="4">
        <v>86</v>
      </c>
      <c r="B267" s="4" t="s">
        <v>259</v>
      </c>
      <c r="D267" s="4" t="s">
        <v>42</v>
      </c>
      <c r="F267" s="4">
        <v>203099</v>
      </c>
      <c r="H267" s="4">
        <v>64600</v>
      </c>
      <c r="J267" s="4">
        <v>84570</v>
      </c>
      <c r="L267" s="4">
        <v>30132</v>
      </c>
      <c r="N267" s="4">
        <v>0</v>
      </c>
      <c r="P267" s="4">
        <v>8960</v>
      </c>
      <c r="R267" s="4">
        <v>5441</v>
      </c>
      <c r="T267" s="4">
        <v>3526</v>
      </c>
      <c r="V267" s="4">
        <v>25286</v>
      </c>
      <c r="X267" s="4">
        <v>890</v>
      </c>
      <c r="Z267" s="4">
        <v>129</v>
      </c>
      <c r="AB267" s="4">
        <v>0</v>
      </c>
      <c r="AD267" s="4">
        <v>0</v>
      </c>
      <c r="AF267" s="4">
        <f>SUM(F267:AD267)</f>
        <v>426633</v>
      </c>
    </row>
    <row r="268" spans="1:32" s="4" customFormat="1">
      <c r="A268" s="4">
        <v>119</v>
      </c>
      <c r="B268" s="4" t="s">
        <v>260</v>
      </c>
      <c r="D268" s="4" t="s">
        <v>170</v>
      </c>
      <c r="F268" s="4">
        <v>284252</v>
      </c>
      <c r="H268" s="4">
        <v>117599</v>
      </c>
      <c r="J268" s="4">
        <v>46121</v>
      </c>
      <c r="L268" s="4">
        <v>48472</v>
      </c>
      <c r="N268" s="4">
        <v>0</v>
      </c>
      <c r="P268" s="4">
        <v>9875</v>
      </c>
      <c r="R268" s="4">
        <v>5148</v>
      </c>
      <c r="T268" s="4">
        <v>43052</v>
      </c>
      <c r="V268" s="4">
        <v>0</v>
      </c>
      <c r="X268" s="4">
        <v>0</v>
      </c>
      <c r="Z268" s="4">
        <v>0</v>
      </c>
      <c r="AB268" s="4">
        <v>0</v>
      </c>
      <c r="AD268" s="4">
        <v>0</v>
      </c>
      <c r="AF268" s="4">
        <f>SUM(F268:AD268)</f>
        <v>554519</v>
      </c>
    </row>
    <row r="269" spans="1:32" s="4" customFormat="1">
      <c r="A269" s="4">
        <v>221</v>
      </c>
      <c r="B269" s="4" t="s">
        <v>261</v>
      </c>
      <c r="D269" s="4" t="s">
        <v>22</v>
      </c>
      <c r="F269" s="4">
        <v>1067204</v>
      </c>
      <c r="H269" s="4">
        <v>296512</v>
      </c>
      <c r="J269" s="4">
        <v>483986</v>
      </c>
      <c r="L269" s="4">
        <v>482355</v>
      </c>
      <c r="N269" s="4">
        <v>0</v>
      </c>
      <c r="P269" s="4">
        <v>58173</v>
      </c>
      <c r="R269" s="4">
        <v>15636</v>
      </c>
      <c r="T269" s="4">
        <v>16968</v>
      </c>
      <c r="V269" s="4">
        <v>0</v>
      </c>
      <c r="X269" s="4">
        <v>0</v>
      </c>
      <c r="Z269" s="4">
        <v>0</v>
      </c>
      <c r="AB269" s="4">
        <v>0</v>
      </c>
      <c r="AD269" s="4">
        <v>0</v>
      </c>
      <c r="AF269" s="4">
        <f>SUM(F269:AD269)</f>
        <v>2420834</v>
      </c>
    </row>
    <row r="270" spans="1:32" s="4" customFormat="1">
      <c r="A270" s="39">
        <v>92.1</v>
      </c>
      <c r="B270" s="4" t="s">
        <v>581</v>
      </c>
      <c r="C270" s="3"/>
      <c r="D270" s="3" t="s">
        <v>582</v>
      </c>
      <c r="E270" s="3"/>
      <c r="F270" s="4">
        <v>3625151</v>
      </c>
      <c r="H270" s="4">
        <v>0</v>
      </c>
      <c r="J270" s="4">
        <v>0</v>
      </c>
      <c r="L270" s="4">
        <f>25354219+11695165</f>
        <v>37049384</v>
      </c>
      <c r="N270" s="4">
        <f>11211724+3405865</f>
        <v>14617589</v>
      </c>
      <c r="P270" s="4">
        <v>0</v>
      </c>
      <c r="R270" s="4">
        <v>0</v>
      </c>
      <c r="T270" s="4">
        <v>0</v>
      </c>
      <c r="V270" s="4">
        <v>48246</v>
      </c>
      <c r="X270" s="4">
        <v>859</v>
      </c>
      <c r="Z270" s="4">
        <v>2503043</v>
      </c>
      <c r="AB270" s="4">
        <v>0</v>
      </c>
      <c r="AD270" s="4">
        <v>0</v>
      </c>
      <c r="AF270" s="4">
        <f>SUM(F270:AD270)</f>
        <v>57844272</v>
      </c>
    </row>
    <row r="271" spans="1:32" s="4" customFormat="1">
      <c r="A271" s="4">
        <v>71</v>
      </c>
      <c r="B271" s="4" t="s">
        <v>578</v>
      </c>
      <c r="D271" s="4" t="s">
        <v>67</v>
      </c>
      <c r="F271" s="4">
        <v>155123</v>
      </c>
      <c r="H271" s="4">
        <v>8527</v>
      </c>
      <c r="J271" s="4">
        <v>3469</v>
      </c>
      <c r="L271" s="4">
        <v>31665</v>
      </c>
      <c r="N271" s="4">
        <v>0</v>
      </c>
      <c r="P271" s="4">
        <v>4388</v>
      </c>
      <c r="R271" s="4">
        <v>144793</v>
      </c>
      <c r="T271" s="4">
        <v>0</v>
      </c>
      <c r="V271" s="4">
        <v>4719</v>
      </c>
      <c r="X271" s="4">
        <v>0</v>
      </c>
      <c r="Z271" s="4">
        <v>0</v>
      </c>
      <c r="AB271" s="4">
        <v>0</v>
      </c>
      <c r="AD271" s="4">
        <v>0</v>
      </c>
      <c r="AF271" s="4">
        <f>SUM(F271:AD271)</f>
        <v>352684</v>
      </c>
    </row>
    <row r="272" spans="1:32" s="4" customFormat="1">
      <c r="A272" s="4">
        <v>207</v>
      </c>
      <c r="B272" s="4" t="s">
        <v>262</v>
      </c>
      <c r="D272" s="4" t="s">
        <v>45</v>
      </c>
      <c r="F272" s="4">
        <v>766626</v>
      </c>
      <c r="H272" s="4">
        <v>220638</v>
      </c>
      <c r="J272" s="4">
        <v>169697</v>
      </c>
      <c r="L272" s="4">
        <v>201755</v>
      </c>
      <c r="N272" s="4">
        <v>0</v>
      </c>
      <c r="P272" s="4">
        <v>35783</v>
      </c>
      <c r="R272" s="4">
        <v>11283</v>
      </c>
      <c r="T272" s="4">
        <v>22647</v>
      </c>
      <c r="V272" s="4">
        <v>0</v>
      </c>
      <c r="X272" s="4">
        <v>0</v>
      </c>
      <c r="Z272" s="4">
        <v>188</v>
      </c>
      <c r="AB272" s="4">
        <v>0</v>
      </c>
      <c r="AD272" s="4">
        <v>50</v>
      </c>
      <c r="AF272" s="4">
        <f>SUM(F272:AD272)</f>
        <v>1428667</v>
      </c>
    </row>
    <row r="273" spans="1:32" s="4" customFormat="1">
      <c r="A273" s="4">
        <v>166</v>
      </c>
      <c r="B273" s="4" t="s">
        <v>448</v>
      </c>
      <c r="D273" s="4" t="s">
        <v>53</v>
      </c>
      <c r="F273" s="4">
        <f>22290+35016</f>
        <v>57306</v>
      </c>
      <c r="H273" s="4">
        <v>0</v>
      </c>
      <c r="J273" s="4">
        <v>0</v>
      </c>
      <c r="L273" s="4">
        <v>480526</v>
      </c>
      <c r="N273" s="4">
        <v>43539</v>
      </c>
      <c r="P273" s="4">
        <v>0</v>
      </c>
      <c r="R273" s="4">
        <v>68786</v>
      </c>
      <c r="T273" s="4">
        <v>55116</v>
      </c>
      <c r="V273" s="4">
        <v>0</v>
      </c>
      <c r="X273" s="4">
        <v>0</v>
      </c>
      <c r="Z273" s="4">
        <v>57050</v>
      </c>
      <c r="AB273" s="4">
        <v>0</v>
      </c>
      <c r="AD273" s="4">
        <v>0</v>
      </c>
      <c r="AF273" s="4">
        <f>SUM(F273:AD273)</f>
        <v>762323</v>
      </c>
    </row>
    <row r="274" spans="1:32" s="4" customFormat="1">
      <c r="A274" s="4">
        <v>147</v>
      </c>
      <c r="B274" s="4" t="s">
        <v>610</v>
      </c>
      <c r="D274" s="4" t="s">
        <v>264</v>
      </c>
      <c r="F274" s="4">
        <v>23374605</v>
      </c>
      <c r="H274" s="4">
        <v>0</v>
      </c>
      <c r="J274" s="4">
        <v>6342724</v>
      </c>
      <c r="L274" s="4">
        <v>4872702</v>
      </c>
      <c r="N274" s="4">
        <v>0</v>
      </c>
      <c r="P274" s="4">
        <v>0</v>
      </c>
      <c r="R274" s="4">
        <v>0</v>
      </c>
      <c r="T274" s="4">
        <v>2047826</v>
      </c>
      <c r="V274" s="4">
        <v>15198</v>
      </c>
      <c r="X274" s="4">
        <v>3030</v>
      </c>
      <c r="Z274" s="4">
        <v>1800000</v>
      </c>
      <c r="AB274" s="4">
        <v>0</v>
      </c>
      <c r="AD274" s="4">
        <v>0</v>
      </c>
      <c r="AF274" s="4">
        <f>SUM(F274:AD274)</f>
        <v>38456085</v>
      </c>
    </row>
    <row r="275" spans="1:32" s="4" customFormat="1">
      <c r="A275" s="4">
        <v>167</v>
      </c>
      <c r="B275" s="4" t="s">
        <v>611</v>
      </c>
      <c r="D275" s="4" t="s">
        <v>53</v>
      </c>
      <c r="F275" s="4">
        <v>871226</v>
      </c>
      <c r="H275" s="4">
        <v>361433</v>
      </c>
      <c r="J275" s="4">
        <v>225185</v>
      </c>
      <c r="L275" s="4">
        <v>246544</v>
      </c>
      <c r="N275" s="4">
        <v>0</v>
      </c>
      <c r="P275" s="4">
        <v>55548</v>
      </c>
      <c r="R275" s="4">
        <v>5206</v>
      </c>
      <c r="T275" s="4">
        <v>239925</v>
      </c>
      <c r="V275" s="4">
        <v>0</v>
      </c>
      <c r="X275" s="4">
        <v>0</v>
      </c>
      <c r="Z275" s="4">
        <v>7500</v>
      </c>
      <c r="AB275" s="4">
        <v>0</v>
      </c>
      <c r="AD275" s="4">
        <v>0</v>
      </c>
      <c r="AF275" s="4">
        <f>SUM(F275:AD275)</f>
        <v>2012567</v>
      </c>
    </row>
    <row r="276" spans="1:32" s="4" customFormat="1">
      <c r="A276" s="4">
        <v>236</v>
      </c>
      <c r="B276" s="4" t="s">
        <v>612</v>
      </c>
      <c r="D276" s="4" t="s">
        <v>26</v>
      </c>
      <c r="F276" s="4">
        <f>411461+31903</f>
        <v>443364</v>
      </c>
      <c r="H276" s="4">
        <v>0</v>
      </c>
      <c r="J276" s="4">
        <v>0</v>
      </c>
      <c r="L276" s="4">
        <v>1097769</v>
      </c>
      <c r="N276" s="4">
        <v>289748</v>
      </c>
      <c r="P276" s="4">
        <v>0</v>
      </c>
      <c r="R276" s="4">
        <v>179188</v>
      </c>
      <c r="T276" s="4">
        <v>137241</v>
      </c>
      <c r="V276" s="4">
        <v>110000</v>
      </c>
      <c r="X276" s="4">
        <v>33120</v>
      </c>
      <c r="Z276" s="4">
        <v>0</v>
      </c>
      <c r="AB276" s="4">
        <v>0</v>
      </c>
      <c r="AD276" s="4">
        <v>0</v>
      </c>
      <c r="AF276" s="4">
        <f>SUM(F276:AD276)</f>
        <v>2290430</v>
      </c>
    </row>
    <row r="277" spans="1:32" s="4" customFormat="1">
      <c r="A277" s="4">
        <v>222</v>
      </c>
      <c r="B277" s="4" t="s">
        <v>319</v>
      </c>
      <c r="D277" s="4" t="s">
        <v>22</v>
      </c>
      <c r="F277" s="4">
        <f>384022+45026</f>
        <v>429048</v>
      </c>
      <c r="H277" s="4">
        <v>0</v>
      </c>
      <c r="J277" s="4">
        <v>0</v>
      </c>
      <c r="L277" s="4">
        <v>1049359</v>
      </c>
      <c r="N277" s="4">
        <v>255189</v>
      </c>
      <c r="P277" s="4">
        <v>0</v>
      </c>
      <c r="R277" s="4">
        <v>679488</v>
      </c>
      <c r="T277" s="4">
        <v>0</v>
      </c>
      <c r="V277" s="4">
        <v>102000</v>
      </c>
      <c r="X277" s="4">
        <v>24220</v>
      </c>
      <c r="Z277" s="4">
        <v>0</v>
      </c>
      <c r="AB277" s="4">
        <v>0</v>
      </c>
      <c r="AD277" s="4">
        <v>0</v>
      </c>
      <c r="AF277" s="4">
        <f>SUM(F277:AD277)</f>
        <v>2539304</v>
      </c>
    </row>
    <row r="278" spans="1:32" s="4" customFormat="1">
      <c r="A278" s="4">
        <v>24</v>
      </c>
      <c r="B278" s="4" t="s">
        <v>266</v>
      </c>
      <c r="D278" s="4" t="s">
        <v>47</v>
      </c>
      <c r="F278" s="4">
        <v>306507</v>
      </c>
      <c r="H278" s="4">
        <v>61974</v>
      </c>
      <c r="J278" s="4">
        <v>99914</v>
      </c>
      <c r="L278" s="4">
        <v>37194</v>
      </c>
      <c r="N278" s="4">
        <v>0</v>
      </c>
      <c r="P278" s="4">
        <v>10299</v>
      </c>
      <c r="R278" s="4">
        <v>1683</v>
      </c>
      <c r="T278" s="4">
        <v>16732</v>
      </c>
      <c r="V278" s="4">
        <v>0</v>
      </c>
      <c r="X278" s="4">
        <v>0</v>
      </c>
      <c r="Z278" s="4">
        <v>0</v>
      </c>
      <c r="AB278" s="4">
        <v>0</v>
      </c>
      <c r="AD278" s="4">
        <v>0</v>
      </c>
      <c r="AF278" s="4">
        <f>SUM(F278:AD278)</f>
        <v>534303</v>
      </c>
    </row>
    <row r="279" spans="1:32" s="4" customFormat="1">
      <c r="A279" s="4">
        <v>260</v>
      </c>
      <c r="B279" s="4" t="s">
        <v>345</v>
      </c>
      <c r="D279" s="4" t="s">
        <v>63</v>
      </c>
      <c r="F279" s="4">
        <v>204813</v>
      </c>
      <c r="H279" s="4">
        <v>57559</v>
      </c>
      <c r="J279" s="4">
        <v>54762</v>
      </c>
      <c r="L279" s="4">
        <v>79352</v>
      </c>
      <c r="N279" s="4">
        <v>0</v>
      </c>
      <c r="P279" s="4">
        <v>17399</v>
      </c>
      <c r="R279" s="4">
        <v>17401</v>
      </c>
      <c r="T279" s="4">
        <v>12758</v>
      </c>
      <c r="V279" s="4">
        <v>0</v>
      </c>
      <c r="X279" s="4">
        <v>0</v>
      </c>
      <c r="Z279" s="4">
        <v>0</v>
      </c>
      <c r="AB279" s="4">
        <v>0</v>
      </c>
      <c r="AD279" s="4">
        <v>0</v>
      </c>
      <c r="AF279" s="4">
        <f>SUM(F279:AD279)</f>
        <v>444044</v>
      </c>
    </row>
    <row r="280" spans="1:32" s="4" customFormat="1">
      <c r="A280" s="4">
        <v>230</v>
      </c>
      <c r="B280" s="4" t="s">
        <v>613</v>
      </c>
      <c r="D280" s="4" t="s">
        <v>56</v>
      </c>
      <c r="F280" s="4">
        <v>2866714</v>
      </c>
      <c r="H280" s="4">
        <v>1116032</v>
      </c>
      <c r="J280" s="4">
        <v>627512</v>
      </c>
      <c r="L280" s="4">
        <v>855370</v>
      </c>
      <c r="N280" s="4">
        <v>0</v>
      </c>
      <c r="P280" s="4">
        <v>138735</v>
      </c>
      <c r="R280" s="4">
        <v>38082</v>
      </c>
      <c r="T280" s="4">
        <v>470939</v>
      </c>
      <c r="V280" s="4">
        <v>247892</v>
      </c>
      <c r="X280" s="4">
        <v>10308</v>
      </c>
      <c r="Z280" s="4">
        <v>1186239</v>
      </c>
      <c r="AB280" s="4">
        <v>0</v>
      </c>
      <c r="AD280" s="4">
        <v>0</v>
      </c>
      <c r="AF280" s="4">
        <f>SUM(F280:AD280)</f>
        <v>7557823</v>
      </c>
    </row>
    <row r="281" spans="1:32" s="4" customFormat="1">
      <c r="A281" s="4">
        <v>245</v>
      </c>
      <c r="B281" s="4" t="s">
        <v>614</v>
      </c>
      <c r="D281" s="4" t="s">
        <v>27</v>
      </c>
      <c r="F281" s="4">
        <v>1447841</v>
      </c>
      <c r="H281" s="4">
        <v>0</v>
      </c>
      <c r="J281" s="4">
        <v>0</v>
      </c>
      <c r="L281" s="4">
        <f>420237+373644</f>
        <v>793881</v>
      </c>
      <c r="N281" s="4">
        <v>0</v>
      </c>
      <c r="P281" s="4">
        <v>0</v>
      </c>
      <c r="R281" s="4">
        <v>0</v>
      </c>
      <c r="T281" s="4">
        <v>98407</v>
      </c>
      <c r="V281" s="4">
        <v>0</v>
      </c>
      <c r="X281" s="4">
        <v>0</v>
      </c>
      <c r="Z281" s="4">
        <v>300000</v>
      </c>
      <c r="AB281" s="4">
        <v>0</v>
      </c>
      <c r="AD281" s="4">
        <v>0</v>
      </c>
      <c r="AF281" s="4">
        <f>SUM(F281:AD281)</f>
        <v>2640129</v>
      </c>
    </row>
    <row r="282" spans="1:32" s="4" customFormat="1">
      <c r="A282" s="4">
        <v>171</v>
      </c>
      <c r="B282" s="4" t="s">
        <v>269</v>
      </c>
      <c r="D282" s="4" t="s">
        <v>55</v>
      </c>
      <c r="F282" s="4">
        <v>3460633</v>
      </c>
      <c r="H282" s="4">
        <v>1266708</v>
      </c>
      <c r="J282" s="4">
        <f>816212+12610</f>
        <v>828822</v>
      </c>
      <c r="L282" s="4">
        <v>1051627</v>
      </c>
      <c r="N282" s="4">
        <v>0</v>
      </c>
      <c r="P282" s="4">
        <v>189820</v>
      </c>
      <c r="R282" s="4">
        <v>8038</v>
      </c>
      <c r="T282" s="4">
        <f>115149+49807</f>
        <v>164956</v>
      </c>
      <c r="V282" s="4">
        <v>0</v>
      </c>
      <c r="X282" s="4">
        <v>0</v>
      </c>
      <c r="Z282" s="4">
        <v>0</v>
      </c>
      <c r="AB282" s="4">
        <v>0</v>
      </c>
      <c r="AD282" s="4">
        <v>0</v>
      </c>
      <c r="AF282" s="4">
        <f>SUM(F282:AD282)</f>
        <v>6970604</v>
      </c>
    </row>
    <row r="283" spans="1:32" s="4" customFormat="1">
      <c r="A283" s="4">
        <v>87</v>
      </c>
      <c r="B283" s="4" t="s">
        <v>468</v>
      </c>
      <c r="D283" s="4" t="s">
        <v>42</v>
      </c>
      <c r="F283" s="4">
        <v>279024</v>
      </c>
      <c r="H283" s="4">
        <v>43956</v>
      </c>
      <c r="J283" s="4">
        <v>63852</v>
      </c>
      <c r="L283" s="4">
        <v>51063</v>
      </c>
      <c r="N283" s="4">
        <v>0</v>
      </c>
      <c r="P283" s="4">
        <v>11802</v>
      </c>
      <c r="R283" s="4">
        <v>4015</v>
      </c>
      <c r="T283" s="4">
        <v>8789</v>
      </c>
      <c r="V283" s="4">
        <v>0</v>
      </c>
      <c r="X283" s="4">
        <v>0</v>
      </c>
      <c r="Z283" s="4">
        <v>0</v>
      </c>
      <c r="AB283" s="4">
        <v>0</v>
      </c>
      <c r="AD283" s="4">
        <v>0</v>
      </c>
      <c r="AF283" s="4">
        <f>SUM(F283:AD283)</f>
        <v>462501</v>
      </c>
    </row>
    <row r="284" spans="1:32" s="4" customFormat="1">
      <c r="A284" s="4">
        <v>247</v>
      </c>
      <c r="B284" s="4" t="s">
        <v>615</v>
      </c>
      <c r="D284" s="4" t="s">
        <v>225</v>
      </c>
      <c r="F284" s="4">
        <f>633074+376957</f>
        <v>1010031</v>
      </c>
      <c r="H284" s="4">
        <v>0</v>
      </c>
      <c r="J284" s="4">
        <v>0</v>
      </c>
      <c r="L284" s="4">
        <v>2485557</v>
      </c>
      <c r="N284" s="4">
        <v>971588</v>
      </c>
      <c r="P284" s="4">
        <v>0</v>
      </c>
      <c r="R284" s="4">
        <v>1002568</v>
      </c>
      <c r="T284" s="4">
        <v>1515154</v>
      </c>
      <c r="V284" s="4">
        <v>220000</v>
      </c>
      <c r="X284" s="4">
        <v>242106</v>
      </c>
      <c r="Z284" s="4">
        <v>567312</v>
      </c>
      <c r="AB284" s="4">
        <v>0</v>
      </c>
      <c r="AD284" s="4">
        <v>0</v>
      </c>
      <c r="AF284" s="4">
        <f>SUM(F284:AD284)</f>
        <v>8014316</v>
      </c>
    </row>
    <row r="285" spans="1:32" s="4" customFormat="1">
      <c r="A285" s="4">
        <v>254</v>
      </c>
      <c r="B285" s="4" t="s">
        <v>271</v>
      </c>
      <c r="D285" s="4" t="s">
        <v>65</v>
      </c>
      <c r="F285" s="4">
        <v>174708</v>
      </c>
      <c r="H285" s="4">
        <v>45305</v>
      </c>
      <c r="J285" s="4">
        <v>47011</v>
      </c>
      <c r="L285" s="4">
        <v>39041</v>
      </c>
      <c r="N285" s="4">
        <v>0</v>
      </c>
      <c r="P285" s="4">
        <v>5691</v>
      </c>
      <c r="R285" s="4">
        <v>3318</v>
      </c>
      <c r="T285" s="4">
        <v>85570</v>
      </c>
      <c r="V285" s="4">
        <v>0</v>
      </c>
      <c r="X285" s="4">
        <v>0</v>
      </c>
      <c r="Z285" s="4">
        <v>0</v>
      </c>
      <c r="AB285" s="4">
        <v>0</v>
      </c>
      <c r="AD285" s="4">
        <v>0</v>
      </c>
      <c r="AF285" s="4">
        <f>SUM(F285:AD285)</f>
        <v>400644</v>
      </c>
    </row>
    <row r="286" spans="1:32" s="4" customFormat="1">
      <c r="A286" s="4">
        <v>255</v>
      </c>
      <c r="B286" s="4" t="s">
        <v>272</v>
      </c>
      <c r="D286" s="4" t="s">
        <v>65</v>
      </c>
      <c r="F286" s="4">
        <v>934396</v>
      </c>
      <c r="H286" s="4">
        <v>293272</v>
      </c>
      <c r="J286" s="4">
        <v>301485</v>
      </c>
      <c r="L286" s="4">
        <v>236500</v>
      </c>
      <c r="N286" s="4">
        <v>0</v>
      </c>
      <c r="P286" s="4">
        <v>35732</v>
      </c>
      <c r="R286" s="4">
        <v>4199</v>
      </c>
      <c r="T286" s="4">
        <v>20360</v>
      </c>
      <c r="V286" s="4">
        <v>0</v>
      </c>
      <c r="X286" s="4">
        <v>0</v>
      </c>
      <c r="Z286" s="4">
        <v>0</v>
      </c>
      <c r="AB286" s="4">
        <v>0</v>
      </c>
      <c r="AD286" s="4">
        <v>0</v>
      </c>
      <c r="AF286" s="4">
        <f>SUM(F286:AD286)</f>
        <v>1825944</v>
      </c>
    </row>
    <row r="287" spans="1:32" s="4" customFormat="1">
      <c r="A287" s="4">
        <v>44</v>
      </c>
      <c r="B287" s="4" t="s">
        <v>273</v>
      </c>
      <c r="D287" s="4" t="s">
        <v>51</v>
      </c>
      <c r="F287" s="4">
        <v>178940</v>
      </c>
      <c r="H287" s="4">
        <v>59685</v>
      </c>
      <c r="J287" s="4">
        <v>53240</v>
      </c>
      <c r="L287" s="4">
        <v>100852</v>
      </c>
      <c r="N287" s="4">
        <v>0</v>
      </c>
      <c r="P287" s="4">
        <v>5245</v>
      </c>
      <c r="R287" s="4">
        <v>11830</v>
      </c>
      <c r="T287" s="4">
        <v>5800</v>
      </c>
      <c r="V287" s="4">
        <v>0</v>
      </c>
      <c r="X287" s="4">
        <v>0</v>
      </c>
      <c r="Z287" s="4">
        <v>0</v>
      </c>
      <c r="AB287" s="4">
        <v>0</v>
      </c>
      <c r="AD287" s="4">
        <v>0</v>
      </c>
      <c r="AF287" s="4">
        <f>SUM(F287:AD287)</f>
        <v>415592</v>
      </c>
    </row>
    <row r="288" spans="1:32" s="4" customFormat="1">
      <c r="A288" s="4">
        <v>78</v>
      </c>
      <c r="B288" s="4" t="s">
        <v>577</v>
      </c>
      <c r="D288" s="4" t="s">
        <v>92</v>
      </c>
      <c r="F288" s="4">
        <v>2238501</v>
      </c>
      <c r="H288" s="4">
        <v>881509</v>
      </c>
      <c r="J288" s="4">
        <v>910219</v>
      </c>
      <c r="L288" s="4">
        <v>724020</v>
      </c>
      <c r="N288" s="4">
        <v>0</v>
      </c>
      <c r="P288" s="4">
        <v>129993</v>
      </c>
      <c r="R288" s="4">
        <v>17774</v>
      </c>
      <c r="T288" s="4">
        <v>132290</v>
      </c>
      <c r="V288" s="4">
        <v>500000</v>
      </c>
      <c r="X288" s="4">
        <v>45775</v>
      </c>
      <c r="Z288" s="4">
        <v>82440</v>
      </c>
      <c r="AB288" s="4">
        <v>0</v>
      </c>
      <c r="AD288" s="4">
        <v>0</v>
      </c>
      <c r="AF288" s="4">
        <f>SUM(F288:AD288)</f>
        <v>5662521</v>
      </c>
    </row>
    <row r="289" spans="1:110" s="4" customFormat="1">
      <c r="A289" s="4">
        <v>256</v>
      </c>
      <c r="B289" s="4" t="s">
        <v>274</v>
      </c>
      <c r="D289" s="4" t="s">
        <v>65</v>
      </c>
      <c r="F289" s="4">
        <v>228637</v>
      </c>
      <c r="H289" s="4">
        <v>83248</v>
      </c>
      <c r="J289" s="4">
        <v>52994</v>
      </c>
      <c r="L289" s="4">
        <v>74098</v>
      </c>
      <c r="N289" s="4">
        <v>0</v>
      </c>
      <c r="P289" s="4">
        <v>11350</v>
      </c>
      <c r="R289" s="4">
        <v>4016</v>
      </c>
      <c r="T289" s="4">
        <v>0</v>
      </c>
      <c r="V289" s="4">
        <v>0</v>
      </c>
      <c r="X289" s="4">
        <v>0</v>
      </c>
      <c r="Z289" s="4">
        <v>0</v>
      </c>
      <c r="AB289" s="4">
        <v>0</v>
      </c>
      <c r="AD289" s="4">
        <v>3139</v>
      </c>
      <c r="AF289" s="4">
        <f>SUM(F289:AD289)</f>
        <v>457482</v>
      </c>
    </row>
    <row r="290" spans="1:110" s="4" customFormat="1">
      <c r="A290" s="4">
        <v>129</v>
      </c>
      <c r="B290" s="4" t="s">
        <v>469</v>
      </c>
      <c r="D290" s="4" t="s">
        <v>15</v>
      </c>
      <c r="F290" s="4">
        <v>642968</v>
      </c>
      <c r="H290" s="4">
        <v>270737</v>
      </c>
      <c r="J290" s="4">
        <v>118770</v>
      </c>
      <c r="L290" s="4">
        <v>252024</v>
      </c>
      <c r="N290" s="4">
        <v>0</v>
      </c>
      <c r="P290" s="4">
        <v>29722</v>
      </c>
      <c r="R290" s="4">
        <v>5816</v>
      </c>
      <c r="T290" s="4">
        <v>7665</v>
      </c>
      <c r="V290" s="4">
        <v>0</v>
      </c>
      <c r="X290" s="4">
        <v>0</v>
      </c>
      <c r="Z290" s="4">
        <v>400000</v>
      </c>
      <c r="AB290" s="4">
        <v>0</v>
      </c>
      <c r="AD290" s="4">
        <v>0</v>
      </c>
      <c r="AF290" s="4">
        <f>SUM(F290:AD290)</f>
        <v>1727702</v>
      </c>
    </row>
    <row r="291" spans="1:110" s="4" customFormat="1">
      <c r="A291" s="4">
        <v>114</v>
      </c>
      <c r="B291" s="4" t="s">
        <v>275</v>
      </c>
      <c r="D291" s="4" t="s">
        <v>89</v>
      </c>
      <c r="F291" s="4">
        <v>537725</v>
      </c>
      <c r="H291" s="4">
        <v>122853</v>
      </c>
      <c r="J291" s="4">
        <v>106871</v>
      </c>
      <c r="L291" s="4">
        <v>63810</v>
      </c>
      <c r="N291" s="4">
        <v>0</v>
      </c>
      <c r="P291" s="4">
        <v>20107</v>
      </c>
      <c r="R291" s="4">
        <v>35323</v>
      </c>
      <c r="T291" s="4">
        <v>1726</v>
      </c>
      <c r="V291" s="4">
        <v>0</v>
      </c>
      <c r="X291" s="4">
        <v>0</v>
      </c>
      <c r="Z291" s="4">
        <v>10240</v>
      </c>
      <c r="AB291" s="4">
        <v>0</v>
      </c>
      <c r="AD291" s="4">
        <v>0</v>
      </c>
      <c r="AF291" s="4">
        <f>SUM(F291:AD291)</f>
        <v>898655</v>
      </c>
    </row>
    <row r="292" spans="1:110" s="4" customFormat="1">
      <c r="A292" s="4">
        <v>249</v>
      </c>
      <c r="B292" s="4" t="s">
        <v>616</v>
      </c>
      <c r="D292" s="4" t="s">
        <v>204</v>
      </c>
      <c r="F292" s="4">
        <v>969232</v>
      </c>
      <c r="H292" s="4">
        <v>306090</v>
      </c>
      <c r="J292" s="4">
        <v>343865</v>
      </c>
      <c r="L292" s="4">
        <v>276295</v>
      </c>
      <c r="N292" s="4">
        <v>0</v>
      </c>
      <c r="P292" s="4">
        <v>68329</v>
      </c>
      <c r="R292" s="4">
        <v>24941</v>
      </c>
      <c r="T292" s="4">
        <v>453904</v>
      </c>
      <c r="V292" s="4">
        <v>0</v>
      </c>
      <c r="X292" s="4">
        <v>0</v>
      </c>
      <c r="Z292" s="4">
        <v>0</v>
      </c>
      <c r="AB292" s="4">
        <v>0</v>
      </c>
      <c r="AD292" s="4">
        <v>0</v>
      </c>
      <c r="AF292" s="4">
        <f>SUM(F292:AD292)</f>
        <v>2442656</v>
      </c>
    </row>
    <row r="293" spans="1:110" s="4" customFormat="1">
      <c r="A293" s="4">
        <v>130</v>
      </c>
      <c r="B293" s="4" t="s">
        <v>276</v>
      </c>
      <c r="D293" s="4" t="s">
        <v>15</v>
      </c>
      <c r="F293" s="4">
        <f>666108+118405</f>
        <v>784513</v>
      </c>
      <c r="H293" s="4">
        <v>0</v>
      </c>
      <c r="J293" s="4">
        <v>0</v>
      </c>
      <c r="L293" s="4">
        <v>3212968</v>
      </c>
      <c r="N293" s="4">
        <v>501360</v>
      </c>
      <c r="P293" s="4">
        <v>0</v>
      </c>
      <c r="R293" s="4">
        <v>254521</v>
      </c>
      <c r="T293" s="4">
        <v>0</v>
      </c>
      <c r="V293" s="4">
        <v>0</v>
      </c>
      <c r="X293" s="4">
        <v>0</v>
      </c>
      <c r="Z293" s="4">
        <v>0</v>
      </c>
      <c r="AB293" s="4">
        <v>0</v>
      </c>
      <c r="AD293" s="4">
        <v>0</v>
      </c>
      <c r="AF293" s="4">
        <f>SUM(F293:AD293)</f>
        <v>4753362</v>
      </c>
      <c r="DF293" s="4">
        <v>0</v>
      </c>
    </row>
    <row r="294" spans="1:110" s="4" customFormat="1">
      <c r="A294" s="4">
        <v>37</v>
      </c>
      <c r="B294" s="4" t="s">
        <v>277</v>
      </c>
      <c r="D294" s="4" t="s">
        <v>69</v>
      </c>
      <c r="F294" s="4">
        <v>421284</v>
      </c>
      <c r="H294" s="4">
        <v>121172</v>
      </c>
      <c r="J294" s="4">
        <v>139034</v>
      </c>
      <c r="L294" s="4">
        <v>74845</v>
      </c>
      <c r="N294" s="4">
        <v>0</v>
      </c>
      <c r="P294" s="4">
        <v>26112</v>
      </c>
      <c r="R294" s="4">
        <v>9075</v>
      </c>
      <c r="T294" s="4">
        <v>9463</v>
      </c>
      <c r="V294" s="4">
        <v>0</v>
      </c>
      <c r="X294" s="4">
        <v>0</v>
      </c>
      <c r="Z294" s="4">
        <v>0</v>
      </c>
      <c r="AB294" s="4">
        <v>0</v>
      </c>
      <c r="AD294" s="4">
        <v>0</v>
      </c>
      <c r="AF294" s="4">
        <f>SUM(F294:AD294)</f>
        <v>800985</v>
      </c>
    </row>
    <row r="295" spans="1:110" s="4" customFormat="1">
      <c r="A295" s="4">
        <v>257</v>
      </c>
      <c r="B295" s="4" t="s">
        <v>617</v>
      </c>
      <c r="D295" s="4" t="s">
        <v>65</v>
      </c>
      <c r="F295" s="4">
        <v>914516</v>
      </c>
      <c r="H295" s="4">
        <v>246019</v>
      </c>
      <c r="J295" s="4">
        <v>326301</v>
      </c>
      <c r="L295" s="4">
        <v>212312</v>
      </c>
      <c r="N295" s="4">
        <v>0</v>
      </c>
      <c r="P295" s="4">
        <v>33241</v>
      </c>
      <c r="R295" s="4">
        <v>16598</v>
      </c>
      <c r="T295" s="4">
        <v>22857</v>
      </c>
      <c r="V295" s="4">
        <v>42809</v>
      </c>
      <c r="X295" s="4">
        <v>41942</v>
      </c>
      <c r="Z295" s="4">
        <v>0</v>
      </c>
      <c r="AB295" s="4">
        <v>0</v>
      </c>
      <c r="AD295" s="4">
        <v>0</v>
      </c>
      <c r="AF295" s="4">
        <f>SUM(F295:AD295)</f>
        <v>1856595</v>
      </c>
    </row>
    <row r="296" spans="1:110" s="4" customFormat="1">
      <c r="A296" s="4">
        <v>61</v>
      </c>
      <c r="B296" s="4" t="s">
        <v>278</v>
      </c>
      <c r="D296" s="4" t="s">
        <v>81</v>
      </c>
      <c r="F296" s="4">
        <v>168948</v>
      </c>
      <c r="H296" s="4">
        <v>39093</v>
      </c>
      <c r="J296" s="4">
        <v>54078</v>
      </c>
      <c r="L296" s="4">
        <v>71325</v>
      </c>
      <c r="N296" s="4">
        <v>0</v>
      </c>
      <c r="P296" s="4">
        <v>8491</v>
      </c>
      <c r="R296" s="4">
        <v>1222</v>
      </c>
      <c r="T296" s="4">
        <v>9900</v>
      </c>
      <c r="V296" s="4">
        <v>0</v>
      </c>
      <c r="X296" s="4">
        <v>0</v>
      </c>
      <c r="Z296" s="4">
        <v>0</v>
      </c>
      <c r="AB296" s="4">
        <v>0</v>
      </c>
      <c r="AD296" s="4">
        <v>0</v>
      </c>
      <c r="AF296" s="4">
        <f>SUM(F296:AD296)</f>
        <v>353057</v>
      </c>
    </row>
    <row r="297" spans="1:110" s="4" customFormat="1">
      <c r="A297" s="4">
        <v>65</v>
      </c>
      <c r="B297" s="4" t="s">
        <v>320</v>
      </c>
      <c r="D297" s="4" t="s">
        <v>70</v>
      </c>
      <c r="F297" s="4">
        <v>103235</v>
      </c>
      <c r="H297" s="4">
        <v>15796</v>
      </c>
      <c r="J297" s="4">
        <v>23988</v>
      </c>
      <c r="L297" s="4">
        <v>24686</v>
      </c>
      <c r="N297" s="4">
        <v>0</v>
      </c>
      <c r="P297" s="4">
        <v>2896</v>
      </c>
      <c r="R297" s="4">
        <v>411</v>
      </c>
      <c r="T297" s="4">
        <v>1566</v>
      </c>
      <c r="V297" s="4">
        <v>0</v>
      </c>
      <c r="X297" s="4">
        <v>0</v>
      </c>
      <c r="Z297" s="4">
        <v>0</v>
      </c>
      <c r="AB297" s="4">
        <v>0</v>
      </c>
      <c r="AD297" s="4">
        <v>0</v>
      </c>
      <c r="AF297" s="4">
        <f>SUM(F297:AD297)</f>
        <v>172578</v>
      </c>
    </row>
    <row r="298" spans="1:110" s="4" customFormat="1">
      <c r="A298" s="4">
        <v>81</v>
      </c>
      <c r="B298" s="4" t="s">
        <v>279</v>
      </c>
      <c r="D298" s="4" t="s">
        <v>92</v>
      </c>
      <c r="F298" s="4">
        <f>1351301+778463</f>
        <v>2129764</v>
      </c>
      <c r="H298" s="4">
        <v>0</v>
      </c>
      <c r="J298" s="4">
        <v>0</v>
      </c>
      <c r="L298" s="4">
        <v>4645550</v>
      </c>
      <c r="N298" s="4">
        <v>711032</v>
      </c>
      <c r="P298" s="4">
        <v>0</v>
      </c>
      <c r="R298" s="4">
        <v>2159378</v>
      </c>
      <c r="T298" s="4">
        <v>1543382</v>
      </c>
      <c r="V298" s="4">
        <v>0</v>
      </c>
      <c r="X298" s="4">
        <v>0</v>
      </c>
      <c r="Z298" s="4">
        <v>601800</v>
      </c>
      <c r="AB298" s="4">
        <v>0</v>
      </c>
      <c r="AD298" s="4">
        <v>0</v>
      </c>
      <c r="AF298" s="4">
        <f>SUM(F298:AD298)</f>
        <v>11790906</v>
      </c>
    </row>
    <row r="299" spans="1:110" s="4" customFormat="1">
      <c r="A299" s="4">
        <v>172</v>
      </c>
      <c r="B299" s="4" t="s">
        <v>470</v>
      </c>
      <c r="D299" s="4" t="s">
        <v>55</v>
      </c>
      <c r="F299" s="4">
        <v>929950</v>
      </c>
      <c r="H299" s="4">
        <v>214617</v>
      </c>
      <c r="J299" s="4">
        <v>177231</v>
      </c>
      <c r="L299" s="4">
        <v>328875</v>
      </c>
      <c r="N299" s="4">
        <v>0</v>
      </c>
      <c r="P299" s="4">
        <v>34788</v>
      </c>
      <c r="R299" s="4">
        <v>4559</v>
      </c>
      <c r="T299" s="4">
        <v>52145</v>
      </c>
      <c r="V299" s="4">
        <v>0</v>
      </c>
      <c r="X299" s="4">
        <v>0</v>
      </c>
      <c r="Z299" s="4">
        <v>0</v>
      </c>
      <c r="AB299" s="4">
        <v>0</v>
      </c>
      <c r="AD299" s="4">
        <v>0</v>
      </c>
      <c r="AF299" s="4">
        <f>SUM(F299:AD299)</f>
        <v>1742165</v>
      </c>
    </row>
    <row r="300" spans="1:110" s="4" customFormat="1"/>
    <row r="301" spans="1:110" s="4" customFormat="1"/>
    <row r="302" spans="1:110" s="4" customFormat="1"/>
    <row r="303" spans="1:110" s="4" customFormat="1">
      <c r="AF303" s="8"/>
    </row>
    <row r="304" spans="1:110" s="4" customFormat="1">
      <c r="AF304" s="8"/>
    </row>
    <row r="305" spans="16:32" s="4" customFormat="1">
      <c r="AF305" s="8"/>
    </row>
    <row r="306" spans="16:32" s="4" customFormat="1">
      <c r="AF306" s="8"/>
    </row>
    <row r="307" spans="16:32" s="4" customFormat="1">
      <c r="P307" s="8"/>
    </row>
    <row r="308" spans="16:32" s="57" customFormat="1" ht="12.75"/>
    <row r="309" spans="16:32" s="57" customFormat="1" ht="12.75"/>
    <row r="310" spans="16:32" s="57" customFormat="1" ht="12.75"/>
    <row r="311" spans="16:32" s="57" customFormat="1" ht="12.75"/>
    <row r="312" spans="16:32" s="57" customFormat="1" ht="12.75"/>
    <row r="313" spans="16:32" s="57" customFormat="1" ht="12.75"/>
    <row r="314" spans="16:32" s="9" customFormat="1" ht="12.75"/>
    <row r="315" spans="16:32" s="9" customFormat="1" ht="12.75"/>
    <row r="316" spans="16:32" s="9" customFormat="1" ht="12.75"/>
    <row r="317" spans="16:32" s="9" customFormat="1" ht="12.75"/>
    <row r="318" spans="16:32" s="9" customFormat="1" ht="12.75"/>
    <row r="319" spans="16:32" s="9" customFormat="1" ht="12.75"/>
    <row r="320" spans="16:32" s="9" customFormat="1" ht="12.75"/>
    <row r="321" s="9" customFormat="1" ht="12.75"/>
    <row r="322" s="9" customFormat="1" ht="12.75"/>
    <row r="339" spans="6:6">
      <c r="F339" s="3" t="s">
        <v>568</v>
      </c>
    </row>
  </sheetData>
  <sortState ref="A18:AF268">
    <sortCondition ref="B18:B268"/>
  </sortState>
  <phoneticPr fontId="2" type="noConversion"/>
  <printOptions horizontalCentered="1"/>
  <pageMargins left="0.75" right="0.75" top="0.5" bottom="0.5" header="0" footer="0.3"/>
  <pageSetup scale="80" firstPageNumber="32" fitToWidth="2" fitToHeight="3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5" min="1" max="31" man="1"/>
    <brk id="159" min="1" max="31" man="1"/>
    <brk id="233" min="1" max="31" man="1"/>
  </rowBreaks>
  <colBreaks count="1" manualBreakCount="1">
    <brk id="14" max="2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9"/>
  <sheetViews>
    <sheetView topLeftCell="B1" workbookViewId="0">
      <selection activeCell="I27" sqref="I27"/>
    </sheetView>
  </sheetViews>
  <sheetFormatPr defaultColWidth="8.85546875" defaultRowHeight="12"/>
  <cols>
    <col min="1" max="1" width="30" style="17" customWidth="1"/>
    <col min="2" max="2" width="2.140625" style="17" customWidth="1"/>
    <col min="3" max="3" width="8.85546875" style="17" customWidth="1"/>
    <col min="4" max="4" width="2" style="17" customWidth="1"/>
    <col min="5" max="5" width="9" style="17" bestFit="1" customWidth="1"/>
    <col min="6" max="6" width="2" style="17" customWidth="1"/>
    <col min="7" max="7" width="9" style="17" bestFit="1" customWidth="1"/>
    <col min="8" max="8" width="2.140625" style="17" customWidth="1"/>
    <col min="9" max="9" width="9.7109375" style="17" bestFit="1" customWidth="1"/>
    <col min="10" max="10" width="2.42578125" style="17" customWidth="1"/>
    <col min="11" max="11" width="9" style="17" bestFit="1" customWidth="1"/>
    <col min="12" max="12" width="2.5703125" style="17" customWidth="1"/>
    <col min="13" max="13" width="8.85546875" style="17"/>
    <col min="14" max="14" width="2.7109375" style="17" customWidth="1"/>
    <col min="15" max="15" width="8.85546875" style="17"/>
    <col min="16" max="16" width="2.7109375" style="17" customWidth="1"/>
    <col min="17" max="17" width="9" style="17" bestFit="1" customWidth="1"/>
    <col min="18" max="18" width="2.7109375" style="17" customWidth="1"/>
    <col min="19" max="19" width="9" style="17" bestFit="1" customWidth="1"/>
    <col min="20" max="20" width="2.28515625" style="17" customWidth="1"/>
    <col min="21" max="21" width="9.7109375" style="17" customWidth="1"/>
    <col min="22" max="22" width="2.28515625" style="17" customWidth="1"/>
    <col min="23" max="23" width="9" style="17" bestFit="1" customWidth="1"/>
    <col min="24" max="24" width="2.7109375" style="17" customWidth="1"/>
    <col min="25" max="25" width="9" style="17" bestFit="1" customWidth="1"/>
    <col min="26" max="26" width="2.140625" style="17" customWidth="1"/>
    <col min="27" max="27" width="10.5703125" style="17" customWidth="1"/>
    <col min="28" max="28" width="2" style="17" customWidth="1"/>
    <col min="29" max="29" width="11" style="17" customWidth="1"/>
    <col min="30" max="16384" width="8.85546875" style="17"/>
  </cols>
  <sheetData>
    <row r="1" spans="1:29">
      <c r="A1" s="42" t="s">
        <v>529</v>
      </c>
      <c r="B1" s="42"/>
      <c r="C1" s="42"/>
      <c r="D1" s="42"/>
      <c r="E1" s="42"/>
      <c r="F1" s="42"/>
      <c r="G1" s="42"/>
    </row>
    <row r="2" spans="1:29">
      <c r="A2" s="18" t="s">
        <v>548</v>
      </c>
    </row>
    <row r="3" spans="1:29" ht="12.75">
      <c r="A3" s="18"/>
      <c r="G3" s="19"/>
    </row>
    <row r="4" spans="1:29" ht="12.75">
      <c r="A4" s="20" t="s">
        <v>530</v>
      </c>
      <c r="G4" s="19"/>
    </row>
    <row r="5" spans="1:29">
      <c r="A5" s="21"/>
    </row>
    <row r="6" spans="1:29" s="18" customFormat="1">
      <c r="A6" s="22" t="s">
        <v>7</v>
      </c>
      <c r="B6" s="22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9">
      <c r="E7" s="43" t="s">
        <v>32</v>
      </c>
      <c r="F7" s="43"/>
      <c r="G7" s="43"/>
      <c r="H7" s="43"/>
      <c r="I7" s="25"/>
      <c r="K7" s="43" t="s">
        <v>531</v>
      </c>
      <c r="L7" s="43"/>
      <c r="M7" s="43"/>
      <c r="N7" s="26"/>
      <c r="O7" s="26"/>
      <c r="P7" s="25"/>
      <c r="Q7" s="25"/>
      <c r="S7" s="43" t="s">
        <v>411</v>
      </c>
      <c r="T7" s="43"/>
      <c r="U7" s="43"/>
      <c r="V7" s="43"/>
      <c r="W7" s="43"/>
      <c r="X7" s="25"/>
      <c r="Y7" s="25"/>
      <c r="AA7" s="17" t="s">
        <v>532</v>
      </c>
      <c r="AC7" s="17" t="s">
        <v>532</v>
      </c>
    </row>
    <row r="8" spans="1:29">
      <c r="E8" s="28" t="s">
        <v>533</v>
      </c>
      <c r="F8" s="28"/>
      <c r="G8" s="28" t="s">
        <v>30</v>
      </c>
      <c r="H8" s="28"/>
      <c r="I8" s="27" t="s">
        <v>28</v>
      </c>
      <c r="K8" s="28" t="s">
        <v>533</v>
      </c>
      <c r="L8" s="28"/>
      <c r="M8" s="29" t="s">
        <v>534</v>
      </c>
      <c r="N8" s="29"/>
      <c r="O8" s="29"/>
      <c r="P8" s="27"/>
      <c r="Q8" s="27" t="s">
        <v>28</v>
      </c>
      <c r="S8" s="27" t="s">
        <v>535</v>
      </c>
      <c r="T8" s="27"/>
      <c r="U8" s="27"/>
      <c r="V8" s="27"/>
      <c r="W8" s="27"/>
      <c r="X8" s="27"/>
      <c r="Y8" s="27" t="s">
        <v>28</v>
      </c>
      <c r="AA8" s="17" t="s">
        <v>536</v>
      </c>
      <c r="AC8" s="17" t="s">
        <v>536</v>
      </c>
    </row>
    <row r="9" spans="1:29">
      <c r="A9" s="26" t="s">
        <v>8</v>
      </c>
      <c r="B9" s="28"/>
      <c r="C9" s="26" t="s">
        <v>6</v>
      </c>
      <c r="D9" s="28"/>
      <c r="E9" s="26" t="s">
        <v>32</v>
      </c>
      <c r="F9" s="27"/>
      <c r="G9" s="26" t="s">
        <v>32</v>
      </c>
      <c r="H9" s="27"/>
      <c r="I9" s="26" t="s">
        <v>32</v>
      </c>
      <c r="J9" s="23"/>
      <c r="K9" s="26" t="s">
        <v>537</v>
      </c>
      <c r="L9" s="27"/>
      <c r="M9" s="26" t="s">
        <v>538</v>
      </c>
      <c r="N9" s="27"/>
      <c r="O9" s="26" t="s">
        <v>539</v>
      </c>
      <c r="P9" s="27"/>
      <c r="Q9" s="26" t="s">
        <v>537</v>
      </c>
      <c r="R9" s="23"/>
      <c r="S9" s="26" t="s">
        <v>540</v>
      </c>
      <c r="T9" s="27"/>
      <c r="U9" s="26" t="s">
        <v>541</v>
      </c>
      <c r="V9" s="27"/>
      <c r="W9" s="26" t="s">
        <v>413</v>
      </c>
      <c r="X9" s="27"/>
      <c r="Y9" s="26" t="s">
        <v>411</v>
      </c>
      <c r="AA9" s="17" t="s">
        <v>542</v>
      </c>
      <c r="AC9" s="17" t="s">
        <v>542</v>
      </c>
    </row>
    <row r="10" spans="1:29">
      <c r="K10" s="27"/>
      <c r="L10" s="27"/>
      <c r="M10" s="27"/>
      <c r="N10" s="27"/>
      <c r="O10" s="27"/>
      <c r="P10" s="27"/>
      <c r="Q10" s="27"/>
      <c r="S10" s="27"/>
      <c r="T10" s="27"/>
      <c r="U10" s="27"/>
      <c r="V10" s="27"/>
      <c r="W10" s="27"/>
      <c r="X10" s="27"/>
      <c r="Y10" s="27"/>
    </row>
    <row r="11" spans="1:29" s="33" customFormat="1">
      <c r="A11" s="2" t="s">
        <v>353</v>
      </c>
      <c r="B11" s="2"/>
      <c r="C11" s="2" t="s">
        <v>40</v>
      </c>
      <c r="D11" s="30"/>
      <c r="E11" s="33">
        <f t="shared" ref="E11:E21" si="0">+I11-G11</f>
        <v>39688823</v>
      </c>
      <c r="F11" s="32"/>
      <c r="G11" s="32">
        <f>7957409+66965461</f>
        <v>74922870</v>
      </c>
      <c r="H11" s="32"/>
      <c r="I11" s="32">
        <v>114611693</v>
      </c>
      <c r="K11" s="33">
        <f>+Q11-M11-O11</f>
        <v>17332216</v>
      </c>
      <c r="M11" s="33">
        <v>697672</v>
      </c>
      <c r="O11" s="33">
        <v>1426510</v>
      </c>
      <c r="Q11" s="33">
        <v>19456398</v>
      </c>
      <c r="S11" s="33">
        <v>74900680</v>
      </c>
      <c r="U11" s="33">
        <f>Y11-W11-S11</f>
        <v>686903</v>
      </c>
      <c r="W11" s="33">
        <v>19567712</v>
      </c>
      <c r="Y11" s="33">
        <v>95155295</v>
      </c>
      <c r="AA11" s="17">
        <f>+H11-P11-X11</f>
        <v>0</v>
      </c>
      <c r="AC11" s="33">
        <f>+D11+F11+-J11-L11-R11-T11-V11-N11</f>
        <v>0</v>
      </c>
    </row>
    <row r="12" spans="1:29">
      <c r="A12" s="5" t="s">
        <v>71</v>
      </c>
      <c r="B12" s="5"/>
      <c r="C12" s="6" t="s">
        <v>41</v>
      </c>
      <c r="D12" s="31"/>
      <c r="E12" s="17">
        <f t="shared" si="0"/>
        <v>0</v>
      </c>
      <c r="F12" s="33"/>
      <c r="G12" s="33"/>
      <c r="H12" s="33"/>
      <c r="I12" s="33"/>
      <c r="K12" s="17">
        <f>+Q12-M12-O12</f>
        <v>0</v>
      </c>
      <c r="U12" s="17">
        <f>Y12-W12-S12</f>
        <v>0</v>
      </c>
      <c r="AA12" s="17">
        <f t="shared" ref="AA12:AA18" si="1">+I13-Q12-Y12</f>
        <v>0</v>
      </c>
      <c r="AC12" s="17">
        <f t="shared" ref="AC12:AC18" si="2">+E13+G13+-K12-M12-S12-U12-W12-O12</f>
        <v>0</v>
      </c>
    </row>
    <row r="13" spans="1:29">
      <c r="A13" s="5" t="s">
        <v>435</v>
      </c>
      <c r="B13" s="5"/>
      <c r="C13" s="6" t="s">
        <v>97</v>
      </c>
      <c r="D13" s="30"/>
      <c r="E13" s="17">
        <f t="shared" si="0"/>
        <v>0</v>
      </c>
      <c r="K13" s="17">
        <f t="shared" ref="K13:K57" si="3">+Q13-M13-O13</f>
        <v>0</v>
      </c>
      <c r="U13" s="17">
        <f t="shared" ref="U13:U57" si="4">Y13-W13-S13</f>
        <v>0</v>
      </c>
      <c r="AA13" s="17">
        <f t="shared" si="1"/>
        <v>0</v>
      </c>
      <c r="AC13" s="33">
        <f t="shared" si="2"/>
        <v>0</v>
      </c>
    </row>
    <row r="14" spans="1:29">
      <c r="A14" s="6" t="s">
        <v>76</v>
      </c>
      <c r="B14" s="6"/>
      <c r="C14" s="6" t="s">
        <v>57</v>
      </c>
      <c r="D14" s="30"/>
      <c r="E14" s="17">
        <f t="shared" si="0"/>
        <v>0</v>
      </c>
      <c r="K14" s="17">
        <f t="shared" si="3"/>
        <v>0</v>
      </c>
      <c r="U14" s="17">
        <f t="shared" si="4"/>
        <v>0</v>
      </c>
      <c r="AA14" s="17">
        <f t="shared" si="1"/>
        <v>0</v>
      </c>
      <c r="AC14" s="33">
        <f t="shared" si="2"/>
        <v>0</v>
      </c>
    </row>
    <row r="15" spans="1:29">
      <c r="A15" s="12" t="s">
        <v>77</v>
      </c>
      <c r="B15" s="12"/>
      <c r="C15" s="12" t="s">
        <v>78</v>
      </c>
      <c r="D15" s="30"/>
      <c r="E15" s="17">
        <f t="shared" si="0"/>
        <v>0</v>
      </c>
      <c r="K15" s="17">
        <f t="shared" si="3"/>
        <v>0</v>
      </c>
      <c r="U15" s="17">
        <f t="shared" si="4"/>
        <v>0</v>
      </c>
      <c r="AA15" s="17">
        <f t="shared" si="1"/>
        <v>0</v>
      </c>
      <c r="AC15" s="33">
        <f t="shared" si="2"/>
        <v>0</v>
      </c>
    </row>
    <row r="16" spans="1:29">
      <c r="A16" s="5" t="s">
        <v>354</v>
      </c>
      <c r="B16" s="5"/>
      <c r="C16" s="6" t="s">
        <v>42</v>
      </c>
      <c r="D16" s="30"/>
      <c r="E16" s="17">
        <f t="shared" si="0"/>
        <v>0</v>
      </c>
      <c r="K16" s="17">
        <f t="shared" si="3"/>
        <v>0</v>
      </c>
      <c r="U16" s="17">
        <f t="shared" si="4"/>
        <v>0</v>
      </c>
      <c r="AA16" s="17">
        <f t="shared" si="1"/>
        <v>0</v>
      </c>
      <c r="AC16" s="33">
        <f t="shared" si="2"/>
        <v>0</v>
      </c>
    </row>
    <row r="17" spans="1:31">
      <c r="A17" s="6" t="s">
        <v>434</v>
      </c>
      <c r="B17" s="6"/>
      <c r="C17" s="6" t="s">
        <v>22</v>
      </c>
      <c r="D17" s="30"/>
      <c r="E17" s="17">
        <f t="shared" si="0"/>
        <v>0</v>
      </c>
      <c r="K17" s="17">
        <f t="shared" si="3"/>
        <v>0</v>
      </c>
      <c r="U17" s="17">
        <f t="shared" si="4"/>
        <v>0</v>
      </c>
      <c r="AA17" s="17">
        <f t="shared" si="1"/>
        <v>0</v>
      </c>
      <c r="AC17" s="33">
        <f t="shared" si="2"/>
        <v>0</v>
      </c>
    </row>
    <row r="18" spans="1:31">
      <c r="A18" s="5" t="s">
        <v>355</v>
      </c>
      <c r="B18" s="5"/>
      <c r="C18" s="6" t="s">
        <v>43</v>
      </c>
      <c r="D18" s="30"/>
      <c r="E18" s="17">
        <f t="shared" si="0"/>
        <v>0</v>
      </c>
      <c r="K18" s="17">
        <f t="shared" si="3"/>
        <v>0</v>
      </c>
      <c r="U18" s="17">
        <f t="shared" si="4"/>
        <v>0</v>
      </c>
      <c r="AA18" s="17">
        <f t="shared" si="1"/>
        <v>0</v>
      </c>
      <c r="AC18" s="33">
        <f t="shared" si="2"/>
        <v>0</v>
      </c>
    </row>
    <row r="19" spans="1:31">
      <c r="A19" s="5" t="s">
        <v>356</v>
      </c>
      <c r="B19" s="5"/>
      <c r="C19" s="6" t="s">
        <v>44</v>
      </c>
      <c r="D19" s="30"/>
      <c r="E19" s="17">
        <f t="shared" si="0"/>
        <v>0</v>
      </c>
      <c r="K19" s="17">
        <f t="shared" si="3"/>
        <v>0</v>
      </c>
      <c r="U19" s="17">
        <f t="shared" si="4"/>
        <v>0</v>
      </c>
      <c r="AA19" s="17" t="e">
        <f>+#REF!-Q19-Y19</f>
        <v>#REF!</v>
      </c>
      <c r="AC19" s="33" t="e">
        <f>+#REF!+#REF!+-K19-M19-S19-U19-W19-O19</f>
        <v>#REF!</v>
      </c>
    </row>
    <row r="20" spans="1:31">
      <c r="A20" s="5" t="s">
        <v>84</v>
      </c>
      <c r="B20" s="5"/>
      <c r="C20" s="6" t="s">
        <v>57</v>
      </c>
      <c r="D20" s="30"/>
      <c r="E20" s="17">
        <f t="shared" si="0"/>
        <v>0</v>
      </c>
      <c r="K20" s="17">
        <f>+Q20-M20-O20</f>
        <v>0</v>
      </c>
      <c r="U20" s="17">
        <f>Y20-W20-S20</f>
        <v>0</v>
      </c>
      <c r="AA20" s="17" t="e">
        <f>+#REF!-Q20-Y20</f>
        <v>#REF!</v>
      </c>
      <c r="AC20" s="33" t="e">
        <f>+#REF!+#REF!+-K20-M20-S20-U20-W20-O20</f>
        <v>#REF!</v>
      </c>
    </row>
    <row r="21" spans="1:31">
      <c r="A21" s="5" t="s">
        <v>357</v>
      </c>
      <c r="B21" s="6"/>
      <c r="C21" s="6" t="s">
        <v>22</v>
      </c>
      <c r="D21" s="30"/>
      <c r="E21" s="17">
        <f t="shared" si="0"/>
        <v>0</v>
      </c>
      <c r="K21" s="17">
        <f t="shared" si="3"/>
        <v>0</v>
      </c>
      <c r="U21" s="17">
        <f t="shared" si="4"/>
        <v>0</v>
      </c>
      <c r="AA21" s="17" t="e">
        <f>+#REF!-Q21-Y21</f>
        <v>#REF!</v>
      </c>
      <c r="AC21" s="33" t="e">
        <f>+#REF!+#REF!+-K21-M21-S21-U21-W21-O21</f>
        <v>#REF!</v>
      </c>
    </row>
    <row r="22" spans="1:31">
      <c r="A22" s="12" t="s">
        <v>21</v>
      </c>
      <c r="B22" s="12"/>
      <c r="C22" s="12" t="s">
        <v>13</v>
      </c>
      <c r="D22" s="30"/>
      <c r="E22" s="17">
        <v>0</v>
      </c>
      <c r="K22" s="17">
        <v>0</v>
      </c>
      <c r="U22" s="17">
        <v>0</v>
      </c>
      <c r="AC22" s="33"/>
    </row>
    <row r="23" spans="1:31">
      <c r="A23" s="5" t="s">
        <v>358</v>
      </c>
      <c r="B23" s="6"/>
      <c r="C23" s="6" t="s">
        <v>13</v>
      </c>
      <c r="D23" s="30"/>
      <c r="E23" s="17">
        <f t="shared" ref="E23:E54" si="5">+I23-G23</f>
        <v>0</v>
      </c>
      <c r="K23" s="17">
        <f t="shared" si="3"/>
        <v>0</v>
      </c>
      <c r="U23" s="17">
        <f t="shared" si="4"/>
        <v>0</v>
      </c>
      <c r="AA23" s="17" t="e">
        <f>+#REF!-Q23-Y23</f>
        <v>#REF!</v>
      </c>
      <c r="AC23" s="33" t="e">
        <f>+#REF!+#REF!+-K23-M23-S23-U23-W23-O23</f>
        <v>#REF!</v>
      </c>
    </row>
    <row r="24" spans="1:31">
      <c r="A24" s="5" t="s">
        <v>88</v>
      </c>
      <c r="B24" s="6"/>
      <c r="C24" s="6" t="s">
        <v>89</v>
      </c>
      <c r="D24" s="30"/>
      <c r="E24" s="17">
        <f t="shared" si="5"/>
        <v>0</v>
      </c>
      <c r="K24" s="17">
        <f>+Q24-M24-O24</f>
        <v>0</v>
      </c>
      <c r="U24" s="17">
        <f>Y24-W24-S24</f>
        <v>0</v>
      </c>
      <c r="AA24" s="17">
        <f>+I26-Q24-Y24</f>
        <v>0</v>
      </c>
      <c r="AC24" s="33">
        <f>+E26+G26+-K24-M24-S24-U24-W24-O24</f>
        <v>0</v>
      </c>
    </row>
    <row r="25" spans="1:31">
      <c r="A25" s="5" t="s">
        <v>359</v>
      </c>
      <c r="B25" s="6"/>
      <c r="C25" s="6" t="s">
        <v>46</v>
      </c>
      <c r="D25" s="30"/>
      <c r="E25" s="17">
        <f t="shared" si="5"/>
        <v>0</v>
      </c>
      <c r="K25" s="17">
        <f t="shared" si="3"/>
        <v>0</v>
      </c>
      <c r="U25" s="17">
        <f t="shared" si="4"/>
        <v>0</v>
      </c>
      <c r="AA25" s="17" t="e">
        <f>+#REF!-Q25-Y25</f>
        <v>#REF!</v>
      </c>
      <c r="AC25" s="33" t="e">
        <f>+#REF!+#REF!+-K25-M25-S25-U25-W25-O25</f>
        <v>#REF!</v>
      </c>
    </row>
    <row r="26" spans="1:31">
      <c r="A26" s="5" t="s">
        <v>100</v>
      </c>
      <c r="B26" s="6"/>
      <c r="C26" s="6" t="s">
        <v>56</v>
      </c>
      <c r="D26" s="30"/>
      <c r="E26" s="17">
        <f t="shared" si="5"/>
        <v>0</v>
      </c>
      <c r="K26" s="17">
        <f>+Q26-M26-O26</f>
        <v>0</v>
      </c>
      <c r="U26" s="17">
        <f>Y26-W26-S26</f>
        <v>0</v>
      </c>
      <c r="AA26" s="17">
        <f>+I28-Q26-Y26</f>
        <v>0</v>
      </c>
      <c r="AC26" s="33">
        <f>+E28+G28+-K26-M26-S26-U26-W26-O26</f>
        <v>0</v>
      </c>
    </row>
    <row r="27" spans="1:31">
      <c r="A27" s="5" t="s">
        <v>33</v>
      </c>
      <c r="B27" s="6"/>
      <c r="C27" s="6" t="s">
        <v>47</v>
      </c>
      <c r="D27" s="30"/>
      <c r="E27" s="17">
        <f t="shared" si="5"/>
        <v>0</v>
      </c>
      <c r="K27" s="17">
        <f t="shared" si="3"/>
        <v>0</v>
      </c>
      <c r="U27" s="17">
        <f t="shared" si="4"/>
        <v>0</v>
      </c>
      <c r="AA27" s="17" t="e">
        <f>+#REF!-Q27-Y27</f>
        <v>#REF!</v>
      </c>
      <c r="AC27" s="33" t="e">
        <f>+#REF!+#REF!+-K27-M27-S27-U27-W27-O27</f>
        <v>#REF!</v>
      </c>
      <c r="AE27" s="17" t="s">
        <v>543</v>
      </c>
    </row>
    <row r="28" spans="1:31">
      <c r="A28" s="12" t="s">
        <v>109</v>
      </c>
      <c r="B28" s="12"/>
      <c r="C28" s="12" t="s">
        <v>110</v>
      </c>
      <c r="D28" s="30"/>
      <c r="E28" s="17">
        <f t="shared" si="5"/>
        <v>0</v>
      </c>
      <c r="K28" s="17">
        <f>+Q28-M28-O28</f>
        <v>0</v>
      </c>
      <c r="U28" s="17">
        <f>Y28-W28-S28</f>
        <v>0</v>
      </c>
      <c r="AA28" s="17">
        <f>+I34-Q28-Y28</f>
        <v>0</v>
      </c>
      <c r="AC28" s="33">
        <f>+E34+G34+-K28-M28-S28-U28-W28-O28</f>
        <v>0</v>
      </c>
    </row>
    <row r="29" spans="1:31">
      <c r="A29" s="5" t="s">
        <v>360</v>
      </c>
      <c r="B29" s="6"/>
      <c r="C29" s="6" t="s">
        <v>48</v>
      </c>
      <c r="D29" s="30"/>
      <c r="E29" s="17">
        <f t="shared" si="5"/>
        <v>0</v>
      </c>
      <c r="K29" s="17">
        <f t="shared" si="3"/>
        <v>0</v>
      </c>
      <c r="U29" s="17">
        <f t="shared" si="4"/>
        <v>0</v>
      </c>
      <c r="AA29" s="17">
        <f>+I30-Q29-Y29</f>
        <v>0</v>
      </c>
      <c r="AC29" s="33">
        <f>+E30+G30+-K29-M29-S29-U29-W29-O29</f>
        <v>0</v>
      </c>
    </row>
    <row r="30" spans="1:31">
      <c r="A30" s="5" t="s">
        <v>361</v>
      </c>
      <c r="B30" s="6"/>
      <c r="C30" s="6" t="s">
        <v>49</v>
      </c>
      <c r="D30" s="30"/>
      <c r="E30" s="17">
        <f t="shared" si="5"/>
        <v>0</v>
      </c>
      <c r="K30" s="17">
        <f t="shared" si="3"/>
        <v>0</v>
      </c>
      <c r="U30" s="17">
        <f t="shared" si="4"/>
        <v>0</v>
      </c>
      <c r="AA30" s="17">
        <f>+I31-Q30-Y30</f>
        <v>0</v>
      </c>
      <c r="AC30" s="33">
        <f>+E31+G31+-K30-M30-S30-U30-W30-O30</f>
        <v>0</v>
      </c>
    </row>
    <row r="31" spans="1:31">
      <c r="A31" s="5" t="s">
        <v>362</v>
      </c>
      <c r="B31" s="6"/>
      <c r="C31" s="6" t="s">
        <v>26</v>
      </c>
      <c r="D31" s="30"/>
      <c r="E31" s="17">
        <f t="shared" si="5"/>
        <v>0</v>
      </c>
      <c r="K31" s="17">
        <f t="shared" si="3"/>
        <v>0</v>
      </c>
      <c r="U31" s="17">
        <f t="shared" si="4"/>
        <v>0</v>
      </c>
      <c r="AA31" s="17">
        <f>+I20-Q31-Y31</f>
        <v>0</v>
      </c>
      <c r="AC31" s="33">
        <f>+E20+G20+-K31-M31-S31-U31-W31-O31</f>
        <v>0</v>
      </c>
    </row>
    <row r="32" spans="1:31">
      <c r="A32" s="6" t="s">
        <v>363</v>
      </c>
      <c r="B32" s="6"/>
      <c r="C32" s="6" t="s">
        <v>70</v>
      </c>
      <c r="D32" s="30"/>
      <c r="E32" s="17">
        <f t="shared" si="5"/>
        <v>0</v>
      </c>
      <c r="K32" s="17">
        <f t="shared" si="3"/>
        <v>0</v>
      </c>
      <c r="U32" s="17">
        <f t="shared" si="4"/>
        <v>0</v>
      </c>
      <c r="AA32" s="17">
        <f>+I33-Q32-Y32</f>
        <v>0</v>
      </c>
      <c r="AC32" s="33">
        <f>+E33+G33+-K32-M32-S32-U32-W32-O32</f>
        <v>0</v>
      </c>
    </row>
    <row r="33" spans="1:29">
      <c r="A33" s="5" t="s">
        <v>364</v>
      </c>
      <c r="B33" s="6"/>
      <c r="C33" s="6" t="s">
        <v>52</v>
      </c>
      <c r="D33" s="30"/>
      <c r="E33" s="17">
        <f t="shared" si="5"/>
        <v>0</v>
      </c>
      <c r="K33" s="17">
        <f t="shared" si="3"/>
        <v>0</v>
      </c>
      <c r="U33" s="17">
        <f t="shared" si="4"/>
        <v>0</v>
      </c>
      <c r="AA33" s="17" t="e">
        <f>+#REF!-Q33-Y33</f>
        <v>#REF!</v>
      </c>
      <c r="AC33" s="33" t="e">
        <f>+#REF!+#REF!+-K33-M33-S33-U33-W33-O33</f>
        <v>#REF!</v>
      </c>
    </row>
    <row r="34" spans="1:29">
      <c r="A34" s="6" t="s">
        <v>366</v>
      </c>
      <c r="B34" s="6"/>
      <c r="C34" s="6" t="s">
        <v>42</v>
      </c>
      <c r="D34" s="30"/>
      <c r="E34" s="17">
        <f t="shared" si="5"/>
        <v>0</v>
      </c>
      <c r="K34" s="17">
        <f t="shared" si="3"/>
        <v>0</v>
      </c>
      <c r="U34" s="17">
        <f t="shared" si="4"/>
        <v>0</v>
      </c>
      <c r="AA34" s="17">
        <f>+I35-Q34-Y34</f>
        <v>0</v>
      </c>
      <c r="AC34" s="33">
        <f>+E35+G35+-K34-M34-S34-U34-W34-O34</f>
        <v>0</v>
      </c>
    </row>
    <row r="35" spans="1:29">
      <c r="A35" s="5" t="s">
        <v>365</v>
      </c>
      <c r="B35" s="6"/>
      <c r="C35" s="6" t="s">
        <v>53</v>
      </c>
      <c r="D35" s="30"/>
      <c r="E35" s="17">
        <f t="shared" si="5"/>
        <v>0</v>
      </c>
      <c r="K35" s="17">
        <f t="shared" si="3"/>
        <v>0</v>
      </c>
      <c r="U35" s="17">
        <f t="shared" si="4"/>
        <v>0</v>
      </c>
      <c r="AA35" s="17">
        <f>+I36-Q35-Y35</f>
        <v>0</v>
      </c>
      <c r="AC35" s="33">
        <f>+E36+G36+-K35-M35-S35-U35-W35-O35</f>
        <v>0</v>
      </c>
    </row>
    <row r="36" spans="1:29">
      <c r="A36" s="5" t="s">
        <v>367</v>
      </c>
      <c r="B36" s="6"/>
      <c r="C36" s="6" t="s">
        <v>54</v>
      </c>
      <c r="D36" s="30"/>
      <c r="E36" s="17">
        <f t="shared" si="5"/>
        <v>0</v>
      </c>
      <c r="K36" s="17">
        <f t="shared" si="3"/>
        <v>0</v>
      </c>
      <c r="U36" s="17">
        <f t="shared" si="4"/>
        <v>0</v>
      </c>
      <c r="AA36" s="17">
        <f>+I37-Q36-Y36</f>
        <v>0</v>
      </c>
      <c r="AC36" s="33">
        <f>+E37+G37+-K36-M36-S36-U36-W36-O36</f>
        <v>0</v>
      </c>
    </row>
    <row r="37" spans="1:29">
      <c r="A37" s="5" t="s">
        <v>368</v>
      </c>
      <c r="B37" s="6"/>
      <c r="C37" s="6" t="s">
        <v>52</v>
      </c>
      <c r="D37" s="30"/>
      <c r="E37" s="17">
        <f t="shared" si="5"/>
        <v>0</v>
      </c>
      <c r="K37" s="17">
        <f t="shared" si="3"/>
        <v>0</v>
      </c>
      <c r="U37" s="17">
        <f t="shared" si="4"/>
        <v>0</v>
      </c>
      <c r="AA37" s="17" t="e">
        <f>+#REF!-Q37-Y37</f>
        <v>#REF!</v>
      </c>
      <c r="AC37" s="33" t="e">
        <f>+#REF!+#REF!+-K37-M37-S37-U37-W37-O37</f>
        <v>#REF!</v>
      </c>
    </row>
    <row r="38" spans="1:29">
      <c r="A38" s="5" t="s">
        <v>369</v>
      </c>
      <c r="B38" s="6"/>
      <c r="C38" s="6" t="s">
        <v>55</v>
      </c>
      <c r="D38" s="30"/>
      <c r="E38" s="17">
        <f t="shared" si="5"/>
        <v>0</v>
      </c>
      <c r="K38" s="17">
        <f t="shared" si="3"/>
        <v>0</v>
      </c>
      <c r="U38" s="17">
        <f t="shared" si="4"/>
        <v>0</v>
      </c>
      <c r="AA38" s="17">
        <f>+I39-Q38-Y38</f>
        <v>0</v>
      </c>
      <c r="AC38" s="33">
        <f>+E39+G39+-K38-M38-S38-U38-W38-O38</f>
        <v>0</v>
      </c>
    </row>
    <row r="39" spans="1:29">
      <c r="A39" s="5" t="s">
        <v>35</v>
      </c>
      <c r="B39" s="6"/>
      <c r="C39" s="6" t="s">
        <v>26</v>
      </c>
      <c r="D39" s="30"/>
      <c r="E39" s="17">
        <f t="shared" si="5"/>
        <v>0</v>
      </c>
      <c r="K39" s="17">
        <f t="shared" si="3"/>
        <v>0</v>
      </c>
      <c r="U39" s="17">
        <f t="shared" si="4"/>
        <v>0</v>
      </c>
      <c r="AA39" s="17">
        <f>+I40-Q39-Y39</f>
        <v>0</v>
      </c>
      <c r="AC39" s="33">
        <f>+E40+G40+-K39-M39-S39-U39-W39-O39</f>
        <v>0</v>
      </c>
    </row>
    <row r="40" spans="1:29">
      <c r="A40" s="6" t="s">
        <v>375</v>
      </c>
      <c r="B40" s="6"/>
      <c r="C40" s="6" t="s">
        <v>57</v>
      </c>
      <c r="D40" s="30"/>
      <c r="E40" s="17">
        <f t="shared" si="5"/>
        <v>0</v>
      </c>
      <c r="K40" s="17">
        <f t="shared" si="3"/>
        <v>0</v>
      </c>
      <c r="U40" s="17">
        <f t="shared" si="4"/>
        <v>0</v>
      </c>
      <c r="AA40" s="17" t="e">
        <f>+#REF!-Q40-Y40</f>
        <v>#REF!</v>
      </c>
      <c r="AC40" s="33" t="e">
        <f>+#REF!+#REF!+-K40-M40-S40-U40-W40-O40</f>
        <v>#REF!</v>
      </c>
    </row>
    <row r="41" spans="1:29">
      <c r="A41" s="5" t="s">
        <v>36</v>
      </c>
      <c r="B41" s="6"/>
      <c r="C41" s="6" t="s">
        <v>57</v>
      </c>
      <c r="D41" s="30"/>
      <c r="E41" s="17">
        <f t="shared" si="5"/>
        <v>0</v>
      </c>
      <c r="K41" s="17">
        <f t="shared" si="3"/>
        <v>0</v>
      </c>
      <c r="U41" s="17">
        <f t="shared" si="4"/>
        <v>0</v>
      </c>
      <c r="AA41" s="17">
        <f>+I42-Q41-Y41</f>
        <v>0</v>
      </c>
      <c r="AC41" s="33">
        <f>+E42+G42+-K41-M41-S41-U41-W41-O41</f>
        <v>0</v>
      </c>
    </row>
    <row r="42" spans="1:29">
      <c r="A42" s="5" t="s">
        <v>370</v>
      </c>
      <c r="B42" s="6"/>
      <c r="C42" s="6" t="s">
        <v>58</v>
      </c>
      <c r="D42" s="30"/>
      <c r="E42" s="17">
        <f t="shared" si="5"/>
        <v>0</v>
      </c>
      <c r="K42" s="17">
        <f t="shared" si="3"/>
        <v>0</v>
      </c>
      <c r="U42" s="17">
        <f t="shared" si="4"/>
        <v>0</v>
      </c>
      <c r="AA42" s="17">
        <f>+I43-Q42-Y42</f>
        <v>0</v>
      </c>
      <c r="AC42" s="33">
        <f>+E43+G43+-K42-M42-S42-U42-W42-O42</f>
        <v>0</v>
      </c>
    </row>
    <row r="43" spans="1:29">
      <c r="A43" s="6" t="s">
        <v>164</v>
      </c>
      <c r="B43" s="6"/>
      <c r="C43" s="6" t="s">
        <v>56</v>
      </c>
      <c r="D43" s="30"/>
      <c r="E43" s="17">
        <f t="shared" si="5"/>
        <v>0</v>
      </c>
      <c r="K43" s="17">
        <f>+Q43-M43-O43</f>
        <v>0</v>
      </c>
      <c r="U43" s="17">
        <f>Y43-W43-S43</f>
        <v>0</v>
      </c>
      <c r="AA43" s="17">
        <f>+I44-Q43-Y43</f>
        <v>0</v>
      </c>
      <c r="AC43" s="33">
        <f>+E44+G44+-K43-M43-S43-U43-W43-O43</f>
        <v>0</v>
      </c>
    </row>
    <row r="44" spans="1:29">
      <c r="A44" s="5" t="s">
        <v>37</v>
      </c>
      <c r="B44" s="6"/>
      <c r="C44" s="6" t="s">
        <v>12</v>
      </c>
      <c r="D44" s="30"/>
      <c r="E44" s="17">
        <f t="shared" si="5"/>
        <v>0</v>
      </c>
      <c r="K44" s="17">
        <f t="shared" si="3"/>
        <v>0</v>
      </c>
      <c r="U44" s="17">
        <f t="shared" si="4"/>
        <v>0</v>
      </c>
      <c r="AA44" s="17">
        <f>+I45-Q44-Y44</f>
        <v>0</v>
      </c>
      <c r="AC44" s="33">
        <f>+E45+G45+-K44-M44-S44-U44-W44-O44</f>
        <v>0</v>
      </c>
    </row>
    <row r="45" spans="1:29">
      <c r="A45" s="6" t="s">
        <v>374</v>
      </c>
      <c r="B45" s="6"/>
      <c r="C45" s="6" t="s">
        <v>170</v>
      </c>
      <c r="D45" s="30"/>
      <c r="E45" s="17">
        <f t="shared" si="5"/>
        <v>0</v>
      </c>
      <c r="K45" s="17">
        <f t="shared" si="3"/>
        <v>0</v>
      </c>
      <c r="U45" s="17">
        <f t="shared" si="4"/>
        <v>0</v>
      </c>
      <c r="AA45" s="17">
        <f>+I46-Q45-Y45</f>
        <v>0</v>
      </c>
      <c r="AC45" s="33">
        <f>+E46+G46+-K45-M45-S45-U45-W45-O45</f>
        <v>0</v>
      </c>
    </row>
    <row r="46" spans="1:29">
      <c r="A46" s="5" t="s">
        <v>371</v>
      </c>
      <c r="B46" s="6"/>
      <c r="C46" s="6" t="s">
        <v>59</v>
      </c>
      <c r="D46" s="30"/>
      <c r="E46" s="17">
        <f t="shared" si="5"/>
        <v>0</v>
      </c>
      <c r="K46" s="17">
        <f t="shared" si="3"/>
        <v>0</v>
      </c>
      <c r="U46" s="17">
        <f t="shared" si="4"/>
        <v>0</v>
      </c>
      <c r="AA46" s="17" t="e">
        <f>+#REF!-Q46-Y46</f>
        <v>#REF!</v>
      </c>
      <c r="AC46" s="33" t="e">
        <f>+#REF!+#REF!+-K46-M46-S46-U46-W46-O46</f>
        <v>#REF!</v>
      </c>
    </row>
    <row r="47" spans="1:29">
      <c r="A47" s="5" t="s">
        <v>372</v>
      </c>
      <c r="B47" s="6"/>
      <c r="C47" s="6" t="s">
        <v>54</v>
      </c>
      <c r="D47" s="30"/>
      <c r="E47" s="17">
        <f t="shared" si="5"/>
        <v>0</v>
      </c>
      <c r="K47" s="17">
        <f t="shared" si="3"/>
        <v>0</v>
      </c>
      <c r="U47" s="17">
        <f t="shared" si="4"/>
        <v>0</v>
      </c>
      <c r="AA47" s="17">
        <f t="shared" ref="AA47:AA59" si="6">+I48-Q47-Y47</f>
        <v>0</v>
      </c>
      <c r="AC47" s="33">
        <f t="shared" ref="AC47:AC59" si="7">+E48+G48+-K47-M47-S47-U47-W47-O47</f>
        <v>0</v>
      </c>
    </row>
    <row r="48" spans="1:29">
      <c r="A48" s="5" t="s">
        <v>373</v>
      </c>
      <c r="B48" s="6"/>
      <c r="C48" s="6" t="s">
        <v>51</v>
      </c>
      <c r="D48" s="34"/>
      <c r="E48" s="17">
        <f t="shared" si="5"/>
        <v>0</v>
      </c>
      <c r="K48" s="17">
        <f t="shared" si="3"/>
        <v>0</v>
      </c>
      <c r="U48" s="17">
        <f t="shared" si="4"/>
        <v>0</v>
      </c>
      <c r="AA48" s="17">
        <f t="shared" si="6"/>
        <v>0</v>
      </c>
      <c r="AC48" s="33">
        <f t="shared" si="7"/>
        <v>0</v>
      </c>
    </row>
    <row r="49" spans="1:29">
      <c r="A49" s="12" t="s">
        <v>427</v>
      </c>
      <c r="B49" s="6"/>
      <c r="C49" s="6" t="s">
        <v>19</v>
      </c>
      <c r="D49" s="30"/>
      <c r="E49" s="17">
        <f t="shared" si="5"/>
        <v>0</v>
      </c>
      <c r="K49" s="17">
        <f t="shared" si="3"/>
        <v>0</v>
      </c>
      <c r="U49" s="17">
        <f t="shared" si="4"/>
        <v>0</v>
      </c>
      <c r="AA49" s="17">
        <f t="shared" si="6"/>
        <v>0</v>
      </c>
      <c r="AC49" s="33">
        <f t="shared" si="7"/>
        <v>0</v>
      </c>
    </row>
    <row r="50" spans="1:29">
      <c r="A50" s="12" t="s">
        <v>428</v>
      </c>
      <c r="B50" s="12"/>
      <c r="C50" s="12" t="s">
        <v>19</v>
      </c>
      <c r="D50" s="30"/>
      <c r="E50" s="17">
        <f t="shared" si="5"/>
        <v>0</v>
      </c>
      <c r="K50" s="17">
        <f t="shared" si="3"/>
        <v>0</v>
      </c>
      <c r="U50" s="17">
        <f t="shared" si="4"/>
        <v>0</v>
      </c>
      <c r="AA50" s="17">
        <f t="shared" si="6"/>
        <v>0</v>
      </c>
      <c r="AC50" s="33">
        <f t="shared" si="7"/>
        <v>0</v>
      </c>
    </row>
    <row r="51" spans="1:29">
      <c r="A51" s="6" t="s">
        <v>386</v>
      </c>
      <c r="B51" s="6"/>
      <c r="C51" s="6" t="s">
        <v>185</v>
      </c>
      <c r="D51" s="30"/>
      <c r="E51" s="17">
        <f t="shared" si="5"/>
        <v>0</v>
      </c>
      <c r="K51" s="17">
        <f t="shared" si="3"/>
        <v>0</v>
      </c>
      <c r="U51" s="17">
        <f t="shared" si="4"/>
        <v>0</v>
      </c>
      <c r="AA51" s="17">
        <f t="shared" si="6"/>
        <v>0</v>
      </c>
      <c r="AC51" s="33">
        <f t="shared" si="7"/>
        <v>0</v>
      </c>
    </row>
    <row r="52" spans="1:29">
      <c r="A52" s="5" t="s">
        <v>376</v>
      </c>
      <c r="B52" s="6"/>
      <c r="C52" s="6" t="s">
        <v>54</v>
      </c>
      <c r="D52" s="30"/>
      <c r="E52" s="17">
        <f t="shared" si="5"/>
        <v>0</v>
      </c>
      <c r="K52" s="17">
        <f t="shared" si="3"/>
        <v>0</v>
      </c>
      <c r="U52" s="17">
        <f t="shared" si="4"/>
        <v>0</v>
      </c>
      <c r="AA52" s="17">
        <f t="shared" si="6"/>
        <v>0</v>
      </c>
      <c r="AC52" s="33">
        <f t="shared" si="7"/>
        <v>0</v>
      </c>
    </row>
    <row r="53" spans="1:29">
      <c r="A53" s="5" t="s">
        <v>377</v>
      </c>
      <c r="B53" s="6"/>
      <c r="C53" s="6" t="s">
        <v>61</v>
      </c>
      <c r="D53" s="30"/>
      <c r="E53" s="17">
        <f t="shared" si="5"/>
        <v>0</v>
      </c>
      <c r="K53" s="17">
        <f t="shared" si="3"/>
        <v>0</v>
      </c>
      <c r="U53" s="17">
        <f t="shared" si="4"/>
        <v>0</v>
      </c>
      <c r="AA53" s="17">
        <f t="shared" si="6"/>
        <v>0</v>
      </c>
      <c r="AC53" s="33">
        <f t="shared" si="7"/>
        <v>0</v>
      </c>
    </row>
    <row r="54" spans="1:29">
      <c r="A54" s="5" t="s">
        <v>378</v>
      </c>
      <c r="B54" s="6"/>
      <c r="C54" s="6" t="s">
        <v>54</v>
      </c>
      <c r="D54" s="34"/>
      <c r="E54" s="17">
        <f t="shared" si="5"/>
        <v>0</v>
      </c>
      <c r="K54" s="17">
        <f t="shared" si="3"/>
        <v>0</v>
      </c>
      <c r="U54" s="17">
        <f t="shared" si="4"/>
        <v>0</v>
      </c>
      <c r="AA54" s="17">
        <f t="shared" si="6"/>
        <v>0</v>
      </c>
      <c r="AC54" s="33">
        <f t="shared" si="7"/>
        <v>0</v>
      </c>
    </row>
    <row r="55" spans="1:29">
      <c r="A55" s="5" t="s">
        <v>379</v>
      </c>
      <c r="B55" s="6"/>
      <c r="C55" s="6" t="s">
        <v>62</v>
      </c>
      <c r="D55" s="30"/>
      <c r="E55" s="17">
        <f t="shared" ref="E55:E86" si="8">+I55-G55</f>
        <v>0</v>
      </c>
      <c r="K55" s="17">
        <f t="shared" si="3"/>
        <v>0</v>
      </c>
      <c r="U55" s="17">
        <f t="shared" si="4"/>
        <v>0</v>
      </c>
      <c r="AA55" s="17">
        <f t="shared" si="6"/>
        <v>0</v>
      </c>
      <c r="AC55" s="33">
        <f t="shared" si="7"/>
        <v>0</v>
      </c>
    </row>
    <row r="56" spans="1:29">
      <c r="A56" s="1" t="s">
        <v>72</v>
      </c>
      <c r="B56" s="1"/>
      <c r="C56" s="1" t="s">
        <v>50</v>
      </c>
      <c r="D56" s="30"/>
      <c r="E56" s="17">
        <f t="shared" si="8"/>
        <v>0</v>
      </c>
      <c r="K56" s="17">
        <f t="shared" si="3"/>
        <v>0</v>
      </c>
      <c r="U56" s="17">
        <f t="shared" si="4"/>
        <v>0</v>
      </c>
      <c r="AA56" s="17">
        <f t="shared" si="6"/>
        <v>0</v>
      </c>
      <c r="AC56" s="33">
        <f t="shared" si="7"/>
        <v>0</v>
      </c>
    </row>
    <row r="57" spans="1:29">
      <c r="A57" s="5" t="s">
        <v>380</v>
      </c>
      <c r="B57" s="6"/>
      <c r="C57" s="6" t="s">
        <v>25</v>
      </c>
      <c r="D57" s="30"/>
      <c r="E57" s="17">
        <f t="shared" si="8"/>
        <v>0</v>
      </c>
      <c r="K57" s="17">
        <f t="shared" si="3"/>
        <v>0</v>
      </c>
      <c r="U57" s="17">
        <f t="shared" si="4"/>
        <v>0</v>
      </c>
      <c r="Y57" s="8"/>
      <c r="AA57" s="17">
        <f t="shared" si="6"/>
        <v>0</v>
      </c>
      <c r="AC57" s="33">
        <f t="shared" si="7"/>
        <v>0</v>
      </c>
    </row>
    <row r="58" spans="1:29">
      <c r="A58" s="5" t="s">
        <v>381</v>
      </c>
      <c r="B58" s="6"/>
      <c r="C58" s="6" t="s">
        <v>352</v>
      </c>
      <c r="D58" s="30"/>
      <c r="E58" s="17">
        <f t="shared" si="8"/>
        <v>0</v>
      </c>
      <c r="K58" s="17">
        <f>+Q58-M58-O58</f>
        <v>0</v>
      </c>
      <c r="U58" s="17">
        <f>Y58-W58-S58</f>
        <v>0</v>
      </c>
      <c r="AA58" s="17">
        <f t="shared" si="6"/>
        <v>0</v>
      </c>
      <c r="AC58" s="33">
        <f t="shared" si="7"/>
        <v>0</v>
      </c>
    </row>
    <row r="59" spans="1:29">
      <c r="A59" s="6" t="s">
        <v>387</v>
      </c>
      <c r="B59" s="6"/>
      <c r="C59" s="6" t="s">
        <v>12</v>
      </c>
      <c r="D59" s="30"/>
      <c r="E59" s="17">
        <f t="shared" si="8"/>
        <v>0</v>
      </c>
      <c r="K59" s="17">
        <f>+Q59-M59-O59</f>
        <v>0</v>
      </c>
      <c r="U59" s="17">
        <f>Y59-W59-S59</f>
        <v>0</v>
      </c>
      <c r="AA59" s="17">
        <f t="shared" si="6"/>
        <v>0</v>
      </c>
      <c r="AC59" s="33">
        <f t="shared" si="7"/>
        <v>0</v>
      </c>
    </row>
    <row r="60" spans="1:29">
      <c r="A60" s="1" t="s">
        <v>363</v>
      </c>
      <c r="B60" s="1"/>
      <c r="C60" s="1" t="s">
        <v>70</v>
      </c>
      <c r="D60" s="30"/>
      <c r="E60" s="17">
        <f t="shared" si="8"/>
        <v>0</v>
      </c>
      <c r="K60" s="17">
        <v>0</v>
      </c>
      <c r="U60" s="17">
        <v>0</v>
      </c>
    </row>
    <row r="61" spans="1:29">
      <c r="A61" s="1" t="s">
        <v>364</v>
      </c>
      <c r="B61" s="1"/>
      <c r="C61" s="1" t="s">
        <v>52</v>
      </c>
      <c r="E61" s="17">
        <f t="shared" si="8"/>
        <v>0</v>
      </c>
      <c r="K61" s="17">
        <v>0</v>
      </c>
      <c r="U61" s="17">
        <v>0</v>
      </c>
    </row>
    <row r="62" spans="1:29" s="33" customFormat="1">
      <c r="A62" s="5" t="s">
        <v>382</v>
      </c>
      <c r="B62" s="6"/>
      <c r="C62" s="6" t="s">
        <v>65</v>
      </c>
      <c r="D62" s="17"/>
      <c r="E62" s="17">
        <f t="shared" si="8"/>
        <v>0</v>
      </c>
      <c r="F62" s="17"/>
      <c r="G62" s="17"/>
      <c r="H62" s="17"/>
      <c r="I62" s="17"/>
      <c r="K62" s="33">
        <v>0</v>
      </c>
      <c r="U62" s="33">
        <f>Y62-W62-S62</f>
        <v>0</v>
      </c>
      <c r="AA62" s="33">
        <f t="shared" ref="AA62:AA93" si="9">+I63-Q62-Y62</f>
        <v>0</v>
      </c>
      <c r="AC62" s="33">
        <f t="shared" ref="AC62:AC93" si="10">+E63+G63+-K62-M62-S62-U62-W62-O62</f>
        <v>0</v>
      </c>
    </row>
    <row r="63" spans="1:29">
      <c r="A63" s="12" t="s">
        <v>123</v>
      </c>
      <c r="B63" s="6"/>
      <c r="C63" s="6" t="s">
        <v>19</v>
      </c>
      <c r="D63" s="31"/>
      <c r="E63" s="17">
        <f t="shared" si="8"/>
        <v>0</v>
      </c>
      <c r="F63" s="33"/>
      <c r="G63" s="33"/>
      <c r="H63" s="33"/>
      <c r="I63" s="33"/>
      <c r="K63" s="17">
        <v>0</v>
      </c>
      <c r="U63" s="17">
        <f t="shared" ref="U63:U116" si="11">Y63-W63-S63</f>
        <v>0</v>
      </c>
      <c r="AA63" s="17">
        <f t="shared" si="9"/>
        <v>0</v>
      </c>
      <c r="AC63" s="33">
        <f t="shared" si="10"/>
        <v>0</v>
      </c>
    </row>
    <row r="64" spans="1:29">
      <c r="A64" s="6" t="s">
        <v>222</v>
      </c>
      <c r="B64" s="6"/>
      <c r="C64" s="6" t="s">
        <v>57</v>
      </c>
      <c r="D64" s="30"/>
      <c r="E64" s="17">
        <f t="shared" si="8"/>
        <v>0</v>
      </c>
      <c r="K64" s="17">
        <v>0</v>
      </c>
      <c r="U64" s="17">
        <f t="shared" si="11"/>
        <v>0</v>
      </c>
      <c r="AA64" s="17">
        <f t="shared" si="9"/>
        <v>0</v>
      </c>
      <c r="AC64" s="33">
        <f t="shared" si="10"/>
        <v>0</v>
      </c>
    </row>
    <row r="65" spans="1:29">
      <c r="A65" s="5" t="s">
        <v>383</v>
      </c>
      <c r="B65" s="6"/>
      <c r="C65" s="6" t="s">
        <v>22</v>
      </c>
      <c r="D65" s="30"/>
      <c r="E65" s="17">
        <f t="shared" si="8"/>
        <v>0</v>
      </c>
      <c r="K65" s="17">
        <v>0</v>
      </c>
      <c r="U65" s="17">
        <f t="shared" si="11"/>
        <v>0</v>
      </c>
      <c r="AA65" s="17">
        <f t="shared" si="9"/>
        <v>0</v>
      </c>
      <c r="AC65" s="33">
        <f t="shared" si="10"/>
        <v>0</v>
      </c>
    </row>
    <row r="66" spans="1:29">
      <c r="A66" s="5" t="s">
        <v>384</v>
      </c>
      <c r="B66" s="6"/>
      <c r="C66" s="6" t="s">
        <v>66</v>
      </c>
      <c r="D66" s="30"/>
      <c r="E66" s="17">
        <f t="shared" si="8"/>
        <v>0</v>
      </c>
      <c r="K66" s="17">
        <f>+Q66-M66-O66</f>
        <v>0</v>
      </c>
      <c r="U66" s="17">
        <f>Y66-W66-S66</f>
        <v>0</v>
      </c>
      <c r="AA66" s="17">
        <f t="shared" si="9"/>
        <v>0</v>
      </c>
      <c r="AC66" s="33">
        <f t="shared" si="10"/>
        <v>0</v>
      </c>
    </row>
    <row r="67" spans="1:29">
      <c r="A67" s="12" t="s">
        <v>124</v>
      </c>
      <c r="B67" s="12"/>
      <c r="C67" s="12" t="s">
        <v>55</v>
      </c>
      <c r="D67" s="30"/>
      <c r="E67" s="17">
        <f t="shared" si="8"/>
        <v>0</v>
      </c>
      <c r="K67" s="17">
        <f>+Q67-M67-O67</f>
        <v>0</v>
      </c>
      <c r="U67" s="17">
        <f>Y67-W67-S67</f>
        <v>0</v>
      </c>
      <c r="AA67" s="17">
        <f t="shared" si="9"/>
        <v>0</v>
      </c>
      <c r="AC67" s="33">
        <f t="shared" si="10"/>
        <v>0</v>
      </c>
    </row>
    <row r="68" spans="1:29">
      <c r="A68" s="5" t="s">
        <v>385</v>
      </c>
      <c r="B68" s="6"/>
      <c r="C68" s="6" t="s">
        <v>12</v>
      </c>
      <c r="D68" s="30"/>
      <c r="E68" s="17">
        <f t="shared" si="8"/>
        <v>0</v>
      </c>
      <c r="K68" s="17">
        <f t="shared" ref="K68:K116" si="12">+Q68-M68-O68</f>
        <v>0</v>
      </c>
      <c r="U68" s="17">
        <f t="shared" si="11"/>
        <v>0</v>
      </c>
      <c r="AA68" s="17">
        <f t="shared" si="9"/>
        <v>0</v>
      </c>
      <c r="AC68" s="33">
        <f t="shared" si="10"/>
        <v>0</v>
      </c>
    </row>
    <row r="69" spans="1:29">
      <c r="A69" s="12" t="s">
        <v>127</v>
      </c>
      <c r="B69" s="12"/>
      <c r="C69" s="12" t="s">
        <v>70</v>
      </c>
      <c r="D69" s="30"/>
      <c r="E69" s="17">
        <f t="shared" si="8"/>
        <v>0</v>
      </c>
      <c r="K69" s="17">
        <f t="shared" si="12"/>
        <v>0</v>
      </c>
      <c r="U69" s="17">
        <f t="shared" si="11"/>
        <v>0</v>
      </c>
      <c r="AA69" s="17">
        <f t="shared" si="9"/>
        <v>0</v>
      </c>
      <c r="AC69" s="33">
        <f t="shared" si="10"/>
        <v>0</v>
      </c>
    </row>
    <row r="70" spans="1:29">
      <c r="A70" s="5" t="s">
        <v>388</v>
      </c>
      <c r="B70" s="6"/>
      <c r="C70" s="6" t="s">
        <v>46</v>
      </c>
      <c r="D70" s="30"/>
      <c r="E70" s="17">
        <f t="shared" si="8"/>
        <v>0</v>
      </c>
      <c r="K70" s="17">
        <f>+Q70-M70-O70</f>
        <v>0</v>
      </c>
      <c r="U70" s="17">
        <v>0</v>
      </c>
      <c r="AA70" s="17">
        <f t="shared" si="9"/>
        <v>0</v>
      </c>
      <c r="AC70" s="33">
        <f t="shared" si="10"/>
        <v>0</v>
      </c>
    </row>
    <row r="71" spans="1:29">
      <c r="A71" s="5" t="s">
        <v>389</v>
      </c>
      <c r="B71" s="6"/>
      <c r="C71" s="6" t="s">
        <v>61</v>
      </c>
      <c r="D71" s="30"/>
      <c r="E71" s="17">
        <f t="shared" si="8"/>
        <v>0</v>
      </c>
      <c r="K71" s="17">
        <f t="shared" si="12"/>
        <v>0</v>
      </c>
      <c r="U71" s="17">
        <f t="shared" si="11"/>
        <v>0</v>
      </c>
      <c r="AA71" s="17">
        <f t="shared" si="9"/>
        <v>0</v>
      </c>
      <c r="AC71" s="33">
        <f t="shared" si="10"/>
        <v>0</v>
      </c>
    </row>
    <row r="72" spans="1:29">
      <c r="A72" s="6" t="s">
        <v>242</v>
      </c>
      <c r="B72" s="6"/>
      <c r="C72" s="6" t="s">
        <v>167</v>
      </c>
      <c r="D72" s="30"/>
      <c r="E72" s="17">
        <f t="shared" si="8"/>
        <v>0</v>
      </c>
      <c r="K72" s="17">
        <f t="shared" si="12"/>
        <v>0</v>
      </c>
      <c r="U72" s="17">
        <f t="shared" si="11"/>
        <v>0</v>
      </c>
      <c r="AA72" s="17">
        <f t="shared" si="9"/>
        <v>0</v>
      </c>
      <c r="AC72" s="33">
        <f t="shared" si="10"/>
        <v>0</v>
      </c>
    </row>
    <row r="73" spans="1:29">
      <c r="A73" s="5" t="s">
        <v>390</v>
      </c>
      <c r="B73" s="6"/>
      <c r="C73" s="6" t="s">
        <v>43</v>
      </c>
      <c r="D73" s="30"/>
      <c r="E73" s="17">
        <f t="shared" si="8"/>
        <v>0</v>
      </c>
      <c r="K73" s="17">
        <f t="shared" si="12"/>
        <v>0</v>
      </c>
      <c r="U73" s="17">
        <f t="shared" si="11"/>
        <v>0</v>
      </c>
      <c r="AA73" s="17">
        <f t="shared" si="9"/>
        <v>0</v>
      </c>
      <c r="AC73" s="33">
        <f t="shared" si="10"/>
        <v>0</v>
      </c>
    </row>
    <row r="74" spans="1:29" s="33" customFormat="1">
      <c r="A74" s="5" t="s">
        <v>391</v>
      </c>
      <c r="B74" s="6"/>
      <c r="C74" s="6" t="s">
        <v>50</v>
      </c>
      <c r="D74" s="30"/>
      <c r="E74" s="17">
        <f t="shared" si="8"/>
        <v>0</v>
      </c>
      <c r="F74" s="17"/>
      <c r="G74" s="17"/>
      <c r="H74" s="17"/>
      <c r="I74" s="17"/>
      <c r="J74" s="17"/>
      <c r="K74" s="17">
        <f t="shared" si="12"/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>
        <f t="shared" si="11"/>
        <v>0</v>
      </c>
      <c r="V74" s="17"/>
      <c r="W74" s="17"/>
      <c r="X74" s="17"/>
      <c r="Y74" s="17"/>
      <c r="AA74" s="33">
        <f t="shared" si="9"/>
        <v>0</v>
      </c>
      <c r="AC74" s="33">
        <f t="shared" si="10"/>
        <v>0</v>
      </c>
    </row>
    <row r="75" spans="1:29">
      <c r="A75" s="5" t="s">
        <v>392</v>
      </c>
      <c r="B75" s="6"/>
      <c r="C75" s="6" t="s">
        <v>62</v>
      </c>
      <c r="D75" s="31"/>
      <c r="E75" s="17">
        <f t="shared" si="8"/>
        <v>0</v>
      </c>
      <c r="K75" s="17">
        <f t="shared" si="12"/>
        <v>0</v>
      </c>
      <c r="U75" s="17">
        <f t="shared" si="11"/>
        <v>0</v>
      </c>
      <c r="AA75" s="17">
        <f t="shared" si="9"/>
        <v>0</v>
      </c>
      <c r="AC75" s="33">
        <f t="shared" si="10"/>
        <v>0</v>
      </c>
    </row>
    <row r="76" spans="1:29">
      <c r="A76" s="5" t="s">
        <v>393</v>
      </c>
      <c r="B76" s="6"/>
      <c r="C76" s="6" t="s">
        <v>68</v>
      </c>
      <c r="D76" s="30"/>
      <c r="E76" s="17">
        <f t="shared" si="8"/>
        <v>0</v>
      </c>
      <c r="K76" s="17">
        <f t="shared" si="12"/>
        <v>0</v>
      </c>
      <c r="U76" s="17">
        <f t="shared" si="11"/>
        <v>0</v>
      </c>
      <c r="AA76" s="17">
        <f t="shared" si="9"/>
        <v>0</v>
      </c>
      <c r="AC76" s="33">
        <f t="shared" si="10"/>
        <v>0</v>
      </c>
    </row>
    <row r="77" spans="1:29">
      <c r="A77" s="5" t="s">
        <v>394</v>
      </c>
      <c r="B77" s="6"/>
      <c r="C77" s="6" t="s">
        <v>45</v>
      </c>
      <c r="D77" s="30"/>
      <c r="E77" s="17">
        <f t="shared" si="8"/>
        <v>0</v>
      </c>
      <c r="K77" s="17">
        <f t="shared" si="12"/>
        <v>0</v>
      </c>
      <c r="U77" s="17">
        <f t="shared" si="11"/>
        <v>0</v>
      </c>
      <c r="AA77" s="17">
        <f t="shared" si="9"/>
        <v>0</v>
      </c>
      <c r="AC77" s="33">
        <f t="shared" si="10"/>
        <v>0</v>
      </c>
    </row>
    <row r="78" spans="1:29">
      <c r="A78" s="1" t="s">
        <v>513</v>
      </c>
      <c r="B78" s="1"/>
      <c r="C78" s="1" t="s">
        <v>19</v>
      </c>
      <c r="D78" s="30"/>
      <c r="E78" s="17">
        <f t="shared" si="8"/>
        <v>0</v>
      </c>
      <c r="K78" s="17">
        <f t="shared" si="12"/>
        <v>0</v>
      </c>
      <c r="U78" s="17">
        <f t="shared" si="11"/>
        <v>0</v>
      </c>
      <c r="AA78" s="17">
        <f t="shared" si="9"/>
        <v>0</v>
      </c>
      <c r="AC78" s="33">
        <f t="shared" si="10"/>
        <v>0</v>
      </c>
    </row>
    <row r="79" spans="1:29">
      <c r="A79" s="5" t="s">
        <v>395</v>
      </c>
      <c r="B79" s="6"/>
      <c r="C79" s="6" t="s">
        <v>44</v>
      </c>
      <c r="D79" s="30"/>
      <c r="E79" s="17">
        <f t="shared" si="8"/>
        <v>0</v>
      </c>
      <c r="K79" s="17">
        <f t="shared" si="12"/>
        <v>0</v>
      </c>
      <c r="U79" s="17">
        <f t="shared" si="11"/>
        <v>0</v>
      </c>
      <c r="AA79" s="17">
        <f t="shared" si="9"/>
        <v>0</v>
      </c>
      <c r="AC79" s="33">
        <f t="shared" si="10"/>
        <v>0</v>
      </c>
    </row>
    <row r="80" spans="1:29">
      <c r="A80" s="5" t="s">
        <v>396</v>
      </c>
      <c r="B80" s="6"/>
      <c r="C80" s="6" t="s">
        <v>13</v>
      </c>
      <c r="D80" s="30"/>
      <c r="E80" s="17">
        <f t="shared" si="8"/>
        <v>0</v>
      </c>
      <c r="K80" s="17">
        <f t="shared" si="12"/>
        <v>0</v>
      </c>
      <c r="U80" s="17">
        <f t="shared" si="11"/>
        <v>0</v>
      </c>
      <c r="AA80" s="17">
        <f t="shared" si="9"/>
        <v>0</v>
      </c>
      <c r="AC80" s="33">
        <f t="shared" si="10"/>
        <v>0</v>
      </c>
    </row>
    <row r="81" spans="1:29">
      <c r="A81" s="12" t="s">
        <v>429</v>
      </c>
      <c r="B81" s="12"/>
      <c r="C81" s="12" t="s">
        <v>20</v>
      </c>
      <c r="D81" s="30"/>
      <c r="E81" s="17">
        <f t="shared" si="8"/>
        <v>0</v>
      </c>
      <c r="K81" s="17">
        <f>+Q81-M81-O81</f>
        <v>0</v>
      </c>
      <c r="U81" s="17">
        <f>Y81-W81-S81</f>
        <v>0</v>
      </c>
      <c r="AA81" s="17">
        <f t="shared" si="9"/>
        <v>0</v>
      </c>
      <c r="AC81" s="33">
        <f t="shared" si="10"/>
        <v>0</v>
      </c>
    </row>
    <row r="82" spans="1:29">
      <c r="A82" s="5" t="s">
        <v>397</v>
      </c>
      <c r="B82" s="6"/>
      <c r="C82" s="6" t="s">
        <v>42</v>
      </c>
      <c r="D82" s="30"/>
      <c r="E82" s="17">
        <f t="shared" si="8"/>
        <v>0</v>
      </c>
      <c r="K82" s="17">
        <f>+Q82-M82-O82</f>
        <v>0</v>
      </c>
      <c r="U82" s="17">
        <f>Y82-W82-S82</f>
        <v>0</v>
      </c>
      <c r="AA82" s="17">
        <f t="shared" si="9"/>
        <v>0</v>
      </c>
      <c r="AC82" s="33">
        <f t="shared" si="10"/>
        <v>0</v>
      </c>
    </row>
    <row r="83" spans="1:29">
      <c r="A83" s="12" t="s">
        <v>18</v>
      </c>
      <c r="B83" s="12"/>
      <c r="C83" s="12" t="s">
        <v>19</v>
      </c>
      <c r="D83" s="30"/>
      <c r="E83" s="17">
        <f t="shared" si="8"/>
        <v>0</v>
      </c>
      <c r="K83" s="17">
        <f t="shared" si="12"/>
        <v>0</v>
      </c>
      <c r="U83" s="17">
        <f t="shared" si="11"/>
        <v>0</v>
      </c>
      <c r="AA83" s="17">
        <f t="shared" si="9"/>
        <v>0</v>
      </c>
      <c r="AC83" s="33">
        <f t="shared" si="10"/>
        <v>0</v>
      </c>
    </row>
    <row r="84" spans="1:29">
      <c r="A84" s="1" t="s">
        <v>514</v>
      </c>
      <c r="B84" s="1"/>
      <c r="C84" s="1" t="s">
        <v>139</v>
      </c>
      <c r="D84" s="30"/>
      <c r="E84" s="17">
        <f t="shared" si="8"/>
        <v>0</v>
      </c>
      <c r="K84" s="17">
        <f t="shared" si="12"/>
        <v>0</v>
      </c>
      <c r="U84" s="17">
        <f t="shared" si="11"/>
        <v>0</v>
      </c>
      <c r="AA84" s="17">
        <f t="shared" si="9"/>
        <v>0</v>
      </c>
      <c r="AC84" s="33">
        <f t="shared" si="10"/>
        <v>0</v>
      </c>
    </row>
    <row r="85" spans="1:29">
      <c r="A85" s="1" t="s">
        <v>365</v>
      </c>
      <c r="B85" s="1"/>
      <c r="C85" s="1" t="s">
        <v>53</v>
      </c>
      <c r="D85" s="30"/>
      <c r="E85" s="17">
        <f t="shared" si="8"/>
        <v>0</v>
      </c>
      <c r="K85" s="17">
        <f t="shared" si="12"/>
        <v>0</v>
      </c>
      <c r="U85" s="17">
        <f t="shared" si="11"/>
        <v>0</v>
      </c>
      <c r="AA85" s="17">
        <f t="shared" si="9"/>
        <v>0</v>
      </c>
      <c r="AC85" s="33">
        <f t="shared" si="10"/>
        <v>0</v>
      </c>
    </row>
    <row r="86" spans="1:29">
      <c r="A86" s="1" t="s">
        <v>367</v>
      </c>
      <c r="B86" s="1"/>
      <c r="C86" s="1" t="s">
        <v>54</v>
      </c>
      <c r="D86" s="30"/>
      <c r="E86" s="17">
        <f t="shared" si="8"/>
        <v>0</v>
      </c>
      <c r="K86" s="17">
        <f t="shared" si="12"/>
        <v>0</v>
      </c>
      <c r="U86" s="17">
        <f t="shared" si="11"/>
        <v>0</v>
      </c>
      <c r="AA86" s="17">
        <f t="shared" si="9"/>
        <v>0</v>
      </c>
      <c r="AC86" s="33">
        <f t="shared" si="10"/>
        <v>0</v>
      </c>
    </row>
    <row r="87" spans="1:29">
      <c r="A87" s="1" t="s">
        <v>368</v>
      </c>
      <c r="B87" s="1"/>
      <c r="C87" s="1" t="s">
        <v>52</v>
      </c>
      <c r="D87" s="30"/>
      <c r="E87" s="17">
        <f t="shared" ref="E87:E118" si="13">+I87-G87</f>
        <v>0</v>
      </c>
      <c r="K87" s="17">
        <f t="shared" si="12"/>
        <v>0</v>
      </c>
      <c r="U87" s="17">
        <f t="shared" si="11"/>
        <v>0</v>
      </c>
      <c r="AA87" s="17">
        <f t="shared" si="9"/>
        <v>0</v>
      </c>
      <c r="AC87" s="33">
        <f t="shared" si="10"/>
        <v>0</v>
      </c>
    </row>
    <row r="88" spans="1:29">
      <c r="A88" s="12" t="s">
        <v>146</v>
      </c>
      <c r="B88" s="12"/>
      <c r="C88" s="12" t="s">
        <v>17</v>
      </c>
      <c r="D88" s="30"/>
      <c r="E88" s="17">
        <f t="shared" si="13"/>
        <v>0</v>
      </c>
      <c r="K88" s="17">
        <f t="shared" si="12"/>
        <v>0</v>
      </c>
      <c r="U88" s="17">
        <f t="shared" si="11"/>
        <v>0</v>
      </c>
      <c r="AA88" s="17">
        <f t="shared" si="9"/>
        <v>0</v>
      </c>
      <c r="AC88" s="33">
        <f t="shared" si="10"/>
        <v>0</v>
      </c>
    </row>
    <row r="89" spans="1:29">
      <c r="A89" s="5" t="s">
        <v>38</v>
      </c>
      <c r="B89" s="6"/>
      <c r="C89" s="6" t="s">
        <v>42</v>
      </c>
      <c r="D89" s="30"/>
      <c r="E89" s="17">
        <f t="shared" si="13"/>
        <v>0</v>
      </c>
      <c r="K89" s="17">
        <f>+Q89-M89-O89</f>
        <v>0</v>
      </c>
      <c r="U89" s="17">
        <f>Y89-W89-S89</f>
        <v>0</v>
      </c>
      <c r="AA89" s="17">
        <f t="shared" si="9"/>
        <v>0</v>
      </c>
      <c r="AC89" s="33">
        <f t="shared" si="10"/>
        <v>0</v>
      </c>
    </row>
    <row r="90" spans="1:29">
      <c r="A90" s="6" t="s">
        <v>272</v>
      </c>
      <c r="B90" s="6"/>
      <c r="C90" s="6" t="s">
        <v>65</v>
      </c>
      <c r="D90" s="30"/>
      <c r="E90" s="17">
        <f t="shared" si="13"/>
        <v>0</v>
      </c>
      <c r="K90" s="17">
        <f t="shared" si="12"/>
        <v>0</v>
      </c>
      <c r="U90" s="17">
        <f t="shared" si="11"/>
        <v>0</v>
      </c>
      <c r="AA90" s="17">
        <f t="shared" si="9"/>
        <v>0</v>
      </c>
      <c r="AC90" s="33">
        <f t="shared" si="10"/>
        <v>0</v>
      </c>
    </row>
    <row r="91" spans="1:29">
      <c r="A91" s="5" t="s">
        <v>39</v>
      </c>
      <c r="B91" s="6"/>
      <c r="C91" s="6" t="s">
        <v>15</v>
      </c>
      <c r="D91" s="30"/>
      <c r="E91" s="17">
        <f t="shared" si="13"/>
        <v>0</v>
      </c>
      <c r="K91" s="17">
        <f t="shared" si="12"/>
        <v>0</v>
      </c>
      <c r="U91" s="17">
        <f t="shared" si="11"/>
        <v>0</v>
      </c>
      <c r="AA91" s="17">
        <f t="shared" si="9"/>
        <v>0</v>
      </c>
      <c r="AC91" s="33">
        <f t="shared" si="10"/>
        <v>0</v>
      </c>
    </row>
    <row r="92" spans="1:29">
      <c r="A92" s="1" t="s">
        <v>369</v>
      </c>
      <c r="B92" s="1"/>
      <c r="C92" s="1" t="s">
        <v>55</v>
      </c>
      <c r="D92" s="30"/>
      <c r="E92" s="17">
        <f t="shared" si="13"/>
        <v>0</v>
      </c>
      <c r="K92" s="17">
        <f t="shared" si="12"/>
        <v>0</v>
      </c>
      <c r="U92" s="17">
        <f t="shared" si="11"/>
        <v>0</v>
      </c>
      <c r="AA92" s="17">
        <f t="shared" si="9"/>
        <v>0</v>
      </c>
      <c r="AC92" s="33">
        <f t="shared" si="10"/>
        <v>0</v>
      </c>
    </row>
    <row r="93" spans="1:29">
      <c r="A93" s="5" t="s">
        <v>398</v>
      </c>
      <c r="B93" s="6"/>
      <c r="C93" s="6" t="s">
        <v>69</v>
      </c>
      <c r="D93" s="34"/>
      <c r="E93" s="17">
        <f t="shared" si="13"/>
        <v>0</v>
      </c>
      <c r="K93" s="17">
        <f t="shared" si="12"/>
        <v>0</v>
      </c>
      <c r="U93" s="17">
        <f t="shared" si="11"/>
        <v>0</v>
      </c>
      <c r="AA93" s="17">
        <f t="shared" si="9"/>
        <v>0</v>
      </c>
      <c r="AC93" s="33">
        <f t="shared" si="10"/>
        <v>0</v>
      </c>
    </row>
    <row r="94" spans="1:29">
      <c r="A94" s="5" t="s">
        <v>399</v>
      </c>
      <c r="B94" s="6"/>
      <c r="C94" s="6" t="s">
        <v>70</v>
      </c>
      <c r="D94" s="30"/>
      <c r="E94" s="17">
        <f t="shared" si="13"/>
        <v>0</v>
      </c>
      <c r="K94" s="17">
        <f t="shared" si="12"/>
        <v>0</v>
      </c>
      <c r="U94" s="17">
        <f t="shared" si="11"/>
        <v>0</v>
      </c>
      <c r="AA94" s="17">
        <f t="shared" ref="AA94:AA120" si="14">+I95-Q94-Y94</f>
        <v>0</v>
      </c>
      <c r="AC94" s="33">
        <f t="shared" ref="AC94:AC120" si="15">+E95+G95+-K94-M94-S94-U94-W94-O94</f>
        <v>0</v>
      </c>
    </row>
    <row r="95" spans="1:29">
      <c r="A95" s="1" t="s">
        <v>375</v>
      </c>
      <c r="B95" s="1"/>
      <c r="C95" s="1" t="s">
        <v>57</v>
      </c>
      <c r="D95" s="30"/>
      <c r="E95" s="17">
        <f t="shared" si="13"/>
        <v>0</v>
      </c>
      <c r="K95" s="17">
        <f t="shared" si="12"/>
        <v>0</v>
      </c>
      <c r="U95" s="17">
        <f t="shared" si="11"/>
        <v>0</v>
      </c>
      <c r="AA95" s="17">
        <f t="shared" si="14"/>
        <v>0</v>
      </c>
      <c r="AC95" s="33">
        <f t="shared" si="15"/>
        <v>0</v>
      </c>
    </row>
    <row r="96" spans="1:29">
      <c r="A96" s="6" t="s">
        <v>280</v>
      </c>
      <c r="B96" s="6"/>
      <c r="C96" s="6" t="s">
        <v>55</v>
      </c>
      <c r="D96" s="30"/>
      <c r="E96" s="17">
        <f t="shared" si="13"/>
        <v>0</v>
      </c>
      <c r="K96" s="17">
        <f t="shared" si="12"/>
        <v>0</v>
      </c>
      <c r="U96" s="17">
        <f t="shared" si="11"/>
        <v>0</v>
      </c>
      <c r="AA96" s="17">
        <f t="shared" si="14"/>
        <v>0</v>
      </c>
      <c r="AC96" s="33">
        <f t="shared" si="15"/>
        <v>0</v>
      </c>
    </row>
    <row r="97" spans="1:29">
      <c r="A97" s="12" t="s">
        <v>151</v>
      </c>
      <c r="B97" s="12"/>
      <c r="C97" s="12" t="s">
        <v>152</v>
      </c>
      <c r="D97" s="30"/>
      <c r="E97" s="17">
        <f t="shared" si="13"/>
        <v>0</v>
      </c>
      <c r="K97" s="17">
        <f t="shared" si="12"/>
        <v>0</v>
      </c>
      <c r="U97" s="17">
        <f t="shared" si="11"/>
        <v>0</v>
      </c>
      <c r="AA97" s="17">
        <f t="shared" si="14"/>
        <v>0</v>
      </c>
      <c r="AC97" s="33">
        <f t="shared" si="15"/>
        <v>0</v>
      </c>
    </row>
    <row r="98" spans="1:29">
      <c r="A98" s="1" t="s">
        <v>36</v>
      </c>
      <c r="B98" s="1"/>
      <c r="C98" s="1" t="s">
        <v>57</v>
      </c>
      <c r="D98" s="30"/>
      <c r="E98" s="17">
        <f t="shared" si="13"/>
        <v>0</v>
      </c>
      <c r="K98" s="17">
        <f t="shared" si="12"/>
        <v>0</v>
      </c>
      <c r="U98" s="17">
        <f t="shared" si="11"/>
        <v>0</v>
      </c>
      <c r="AA98" s="17">
        <f t="shared" si="14"/>
        <v>0</v>
      </c>
      <c r="AC98" s="33">
        <f t="shared" si="15"/>
        <v>0</v>
      </c>
    </row>
    <row r="99" spans="1:29">
      <c r="A99" s="1" t="s">
        <v>515</v>
      </c>
      <c r="B99" s="1"/>
      <c r="C99" s="1" t="s">
        <v>58</v>
      </c>
      <c r="D99" s="30"/>
      <c r="E99" s="17">
        <f t="shared" si="13"/>
        <v>0</v>
      </c>
      <c r="K99" s="17">
        <f t="shared" si="12"/>
        <v>0</v>
      </c>
      <c r="U99" s="17">
        <f t="shared" si="11"/>
        <v>0</v>
      </c>
      <c r="AA99" s="17">
        <f t="shared" si="14"/>
        <v>0</v>
      </c>
      <c r="AC99" s="33">
        <f t="shared" si="15"/>
        <v>0</v>
      </c>
    </row>
    <row r="100" spans="1:29">
      <c r="A100" s="1" t="s">
        <v>164</v>
      </c>
      <c r="B100" s="1"/>
      <c r="C100" s="1" t="s">
        <v>56</v>
      </c>
      <c r="D100" s="34"/>
      <c r="E100" s="17">
        <f t="shared" si="13"/>
        <v>0</v>
      </c>
      <c r="K100" s="17">
        <f t="shared" si="12"/>
        <v>0</v>
      </c>
      <c r="U100" s="17">
        <f t="shared" si="11"/>
        <v>0</v>
      </c>
      <c r="AA100" s="17">
        <f t="shared" si="14"/>
        <v>0</v>
      </c>
      <c r="AC100" s="33">
        <f t="shared" si="15"/>
        <v>0</v>
      </c>
    </row>
    <row r="101" spans="1:29">
      <c r="A101" s="1" t="s">
        <v>374</v>
      </c>
      <c r="B101" s="1"/>
      <c r="C101" s="1" t="s">
        <v>170</v>
      </c>
      <c r="D101" s="30"/>
      <c r="E101" s="17">
        <f t="shared" si="13"/>
        <v>0</v>
      </c>
      <c r="K101" s="17">
        <f t="shared" si="12"/>
        <v>0</v>
      </c>
      <c r="U101" s="17">
        <f t="shared" si="11"/>
        <v>0</v>
      </c>
      <c r="AA101" s="17">
        <f t="shared" si="14"/>
        <v>0</v>
      </c>
      <c r="AC101" s="33">
        <f t="shared" si="15"/>
        <v>0</v>
      </c>
    </row>
    <row r="102" spans="1:29">
      <c r="A102" s="1" t="s">
        <v>371</v>
      </c>
      <c r="B102" s="1"/>
      <c r="C102" s="1" t="s">
        <v>59</v>
      </c>
      <c r="D102" s="30"/>
      <c r="E102" s="17">
        <f t="shared" si="13"/>
        <v>0</v>
      </c>
      <c r="K102" s="17">
        <f t="shared" si="12"/>
        <v>0</v>
      </c>
      <c r="U102" s="17">
        <f t="shared" si="11"/>
        <v>0</v>
      </c>
      <c r="AA102" s="17">
        <f t="shared" si="14"/>
        <v>0</v>
      </c>
      <c r="AC102" s="33">
        <f t="shared" si="15"/>
        <v>0</v>
      </c>
    </row>
    <row r="103" spans="1:29">
      <c r="A103" s="5" t="s">
        <v>438</v>
      </c>
      <c r="B103" s="6"/>
      <c r="C103" s="6" t="s">
        <v>19</v>
      </c>
      <c r="D103" s="30"/>
      <c r="E103" s="17">
        <f t="shared" si="13"/>
        <v>0</v>
      </c>
      <c r="K103" s="17">
        <f t="shared" si="12"/>
        <v>0</v>
      </c>
      <c r="U103" s="17">
        <f t="shared" si="11"/>
        <v>0</v>
      </c>
      <c r="AA103" s="17">
        <f t="shared" si="14"/>
        <v>0</v>
      </c>
      <c r="AC103" s="33">
        <f t="shared" si="15"/>
        <v>0</v>
      </c>
    </row>
    <row r="104" spans="1:29">
      <c r="A104" s="1" t="s">
        <v>372</v>
      </c>
      <c r="B104" s="1"/>
      <c r="C104" s="1" t="s">
        <v>54</v>
      </c>
      <c r="D104" s="30"/>
      <c r="E104" s="17">
        <f t="shared" si="13"/>
        <v>0</v>
      </c>
      <c r="K104" s="17">
        <f t="shared" si="12"/>
        <v>0</v>
      </c>
      <c r="U104" s="17">
        <f t="shared" si="11"/>
        <v>0</v>
      </c>
      <c r="AA104" s="17">
        <f t="shared" si="14"/>
        <v>0</v>
      </c>
      <c r="AC104" s="33">
        <f t="shared" si="15"/>
        <v>0</v>
      </c>
    </row>
    <row r="105" spans="1:29">
      <c r="A105" s="1" t="s">
        <v>516</v>
      </c>
      <c r="B105" s="1"/>
      <c r="C105" s="1" t="s">
        <v>51</v>
      </c>
      <c r="D105" s="30"/>
      <c r="E105" s="17">
        <f t="shared" si="13"/>
        <v>0</v>
      </c>
      <c r="K105" s="17">
        <f t="shared" si="12"/>
        <v>0</v>
      </c>
      <c r="U105" s="17">
        <f t="shared" si="11"/>
        <v>0</v>
      </c>
      <c r="AA105" s="17">
        <f t="shared" si="14"/>
        <v>0</v>
      </c>
      <c r="AC105" s="33">
        <f t="shared" si="15"/>
        <v>0</v>
      </c>
    </row>
    <row r="106" spans="1:29">
      <c r="A106" s="12" t="s">
        <v>11</v>
      </c>
      <c r="B106" s="12"/>
      <c r="C106" s="12" t="s">
        <v>12</v>
      </c>
      <c r="D106" s="30"/>
      <c r="E106" s="17">
        <f t="shared" si="13"/>
        <v>0</v>
      </c>
      <c r="K106" s="17">
        <f t="shared" si="12"/>
        <v>0</v>
      </c>
      <c r="U106" s="17">
        <f t="shared" si="11"/>
        <v>0</v>
      </c>
      <c r="AA106" s="17">
        <f t="shared" si="14"/>
        <v>0</v>
      </c>
      <c r="AC106" s="33">
        <f t="shared" si="15"/>
        <v>0</v>
      </c>
    </row>
    <row r="107" spans="1:29">
      <c r="A107" s="1" t="s">
        <v>520</v>
      </c>
      <c r="B107" s="1"/>
      <c r="C107" s="1" t="s">
        <v>25</v>
      </c>
      <c r="D107" s="30"/>
      <c r="E107" s="17">
        <f t="shared" si="13"/>
        <v>0</v>
      </c>
      <c r="K107" s="17">
        <f t="shared" si="12"/>
        <v>0</v>
      </c>
      <c r="U107" s="17">
        <f t="shared" si="11"/>
        <v>0</v>
      </c>
      <c r="AA107" s="17">
        <f t="shared" si="14"/>
        <v>0</v>
      </c>
      <c r="AC107" s="33">
        <f t="shared" si="15"/>
        <v>0</v>
      </c>
    </row>
    <row r="108" spans="1:29">
      <c r="A108" s="12" t="s">
        <v>439</v>
      </c>
      <c r="B108" s="12"/>
      <c r="C108" s="12" t="s">
        <v>13</v>
      </c>
      <c r="D108" s="30"/>
      <c r="E108" s="17">
        <f t="shared" si="13"/>
        <v>0</v>
      </c>
      <c r="K108" s="17">
        <f t="shared" si="12"/>
        <v>0</v>
      </c>
      <c r="U108" s="17">
        <f t="shared" si="11"/>
        <v>0</v>
      </c>
      <c r="AA108" s="17">
        <f t="shared" si="14"/>
        <v>0</v>
      </c>
      <c r="AC108" s="33">
        <f t="shared" si="15"/>
        <v>0</v>
      </c>
    </row>
    <row r="109" spans="1:29">
      <c r="A109" s="1" t="s">
        <v>439</v>
      </c>
      <c r="B109" s="1"/>
      <c r="C109" s="1" t="s">
        <v>13</v>
      </c>
      <c r="D109" s="30"/>
      <c r="E109" s="17">
        <f t="shared" si="13"/>
        <v>0</v>
      </c>
      <c r="K109" s="17">
        <f t="shared" si="12"/>
        <v>0</v>
      </c>
      <c r="U109" s="17">
        <f t="shared" si="11"/>
        <v>0</v>
      </c>
      <c r="AA109" s="17">
        <f t="shared" si="14"/>
        <v>0</v>
      </c>
      <c r="AC109" s="33">
        <f t="shared" si="15"/>
        <v>0</v>
      </c>
    </row>
    <row r="110" spans="1:29">
      <c r="A110" s="1" t="s">
        <v>386</v>
      </c>
      <c r="B110" s="1"/>
      <c r="C110" s="1" t="s">
        <v>185</v>
      </c>
      <c r="D110" s="30"/>
      <c r="E110" s="17">
        <f t="shared" si="13"/>
        <v>0</v>
      </c>
      <c r="K110" s="17">
        <f t="shared" si="12"/>
        <v>0</v>
      </c>
      <c r="U110" s="17">
        <f t="shared" si="11"/>
        <v>0</v>
      </c>
      <c r="AA110" s="17">
        <f t="shared" si="14"/>
        <v>0</v>
      </c>
      <c r="AC110" s="33">
        <f t="shared" si="15"/>
        <v>0</v>
      </c>
    </row>
    <row r="111" spans="1:29">
      <c r="A111" s="1" t="s">
        <v>376</v>
      </c>
      <c r="B111" s="1"/>
      <c r="C111" s="1" t="s">
        <v>54</v>
      </c>
      <c r="D111" s="30"/>
      <c r="E111" s="17">
        <f t="shared" si="13"/>
        <v>0</v>
      </c>
      <c r="K111" s="17">
        <f t="shared" si="12"/>
        <v>0</v>
      </c>
      <c r="U111" s="17">
        <f t="shared" si="11"/>
        <v>0</v>
      </c>
      <c r="AA111" s="17">
        <f t="shared" si="14"/>
        <v>0</v>
      </c>
      <c r="AC111" s="33">
        <f t="shared" si="15"/>
        <v>0</v>
      </c>
    </row>
    <row r="112" spans="1:29">
      <c r="A112" s="1" t="s">
        <v>378</v>
      </c>
      <c r="B112" s="1"/>
      <c r="C112" s="1" t="s">
        <v>54</v>
      </c>
      <c r="D112" s="30"/>
      <c r="E112" s="17">
        <f t="shared" si="13"/>
        <v>0</v>
      </c>
      <c r="K112" s="17">
        <f t="shared" si="12"/>
        <v>0</v>
      </c>
      <c r="U112" s="17">
        <f t="shared" si="11"/>
        <v>0</v>
      </c>
      <c r="AA112" s="17">
        <f t="shared" si="14"/>
        <v>0</v>
      </c>
      <c r="AC112" s="33">
        <f t="shared" si="15"/>
        <v>0</v>
      </c>
    </row>
    <row r="113" spans="1:29">
      <c r="A113" s="1" t="s">
        <v>195</v>
      </c>
      <c r="B113" s="1"/>
      <c r="C113" s="1" t="s">
        <v>25</v>
      </c>
      <c r="D113" s="30"/>
      <c r="E113" s="17">
        <f t="shared" si="13"/>
        <v>0</v>
      </c>
      <c r="K113" s="17">
        <f t="shared" si="12"/>
        <v>0</v>
      </c>
      <c r="U113" s="17">
        <f t="shared" si="11"/>
        <v>0</v>
      </c>
      <c r="AA113" s="17">
        <f t="shared" si="14"/>
        <v>0</v>
      </c>
      <c r="AC113" s="33">
        <f t="shared" si="15"/>
        <v>0</v>
      </c>
    </row>
    <row r="114" spans="1:29">
      <c r="A114" s="1" t="s">
        <v>379</v>
      </c>
      <c r="B114" s="1"/>
      <c r="C114" s="1" t="s">
        <v>62</v>
      </c>
      <c r="D114" s="30"/>
      <c r="E114" s="17">
        <f t="shared" si="13"/>
        <v>0</v>
      </c>
      <c r="K114" s="17">
        <f t="shared" si="12"/>
        <v>0</v>
      </c>
      <c r="U114" s="17">
        <f t="shared" si="11"/>
        <v>0</v>
      </c>
      <c r="AA114" s="17">
        <f t="shared" si="14"/>
        <v>0</v>
      </c>
      <c r="AC114" s="33">
        <f t="shared" si="15"/>
        <v>0</v>
      </c>
    </row>
    <row r="115" spans="1:29">
      <c r="A115" s="12" t="s">
        <v>197</v>
      </c>
      <c r="B115" s="12"/>
      <c r="C115" s="12" t="s">
        <v>10</v>
      </c>
      <c r="D115" s="30"/>
      <c r="E115" s="17">
        <f t="shared" si="13"/>
        <v>0</v>
      </c>
      <c r="K115" s="17">
        <f t="shared" si="12"/>
        <v>0</v>
      </c>
      <c r="U115" s="17">
        <f t="shared" si="11"/>
        <v>0</v>
      </c>
      <c r="Z115" s="33"/>
      <c r="AA115" s="17">
        <f t="shared" si="14"/>
        <v>0</v>
      </c>
      <c r="AC115" s="33">
        <f t="shared" si="15"/>
        <v>0</v>
      </c>
    </row>
    <row r="116" spans="1:29">
      <c r="A116" s="1" t="s">
        <v>380</v>
      </c>
      <c r="B116" s="1"/>
      <c r="C116" s="1" t="s">
        <v>25</v>
      </c>
      <c r="D116" s="30"/>
      <c r="E116" s="17">
        <f t="shared" si="13"/>
        <v>0</v>
      </c>
      <c r="K116" s="17">
        <f t="shared" si="12"/>
        <v>0</v>
      </c>
      <c r="U116" s="17">
        <f t="shared" si="11"/>
        <v>0</v>
      </c>
      <c r="AA116" s="17">
        <f t="shared" si="14"/>
        <v>0</v>
      </c>
      <c r="AC116" s="33">
        <f t="shared" si="15"/>
        <v>0</v>
      </c>
    </row>
    <row r="117" spans="1:29">
      <c r="A117" s="1" t="s">
        <v>518</v>
      </c>
      <c r="B117" s="1"/>
      <c r="C117" s="1" t="s">
        <v>64</v>
      </c>
      <c r="D117" s="30"/>
      <c r="E117" s="17">
        <f t="shared" si="13"/>
        <v>0</v>
      </c>
      <c r="K117" s="17">
        <f>+Q117-M117-O117</f>
        <v>0</v>
      </c>
      <c r="U117" s="17">
        <f>Y117-W117-S117</f>
        <v>0</v>
      </c>
      <c r="AA117" s="17">
        <f t="shared" si="14"/>
        <v>0</v>
      </c>
      <c r="AC117" s="33">
        <f t="shared" si="15"/>
        <v>0</v>
      </c>
    </row>
    <row r="118" spans="1:29">
      <c r="A118" s="12" t="s">
        <v>431</v>
      </c>
      <c r="B118" s="12"/>
      <c r="C118" s="12" t="s">
        <v>16</v>
      </c>
      <c r="D118" s="30"/>
      <c r="E118" s="17">
        <f t="shared" si="13"/>
        <v>0</v>
      </c>
      <c r="K118" s="17">
        <f>+Q118-M118-O118</f>
        <v>0</v>
      </c>
      <c r="U118" s="17">
        <f>Y118-W118-S118</f>
        <v>0</v>
      </c>
      <c r="AA118" s="17">
        <f t="shared" si="14"/>
        <v>0</v>
      </c>
      <c r="AC118" s="33">
        <f t="shared" si="15"/>
        <v>0</v>
      </c>
    </row>
    <row r="119" spans="1:29">
      <c r="A119" s="6" t="s">
        <v>208</v>
      </c>
      <c r="B119" s="6"/>
      <c r="C119" s="6" t="s">
        <v>209</v>
      </c>
      <c r="D119" s="30"/>
      <c r="E119" s="17">
        <f t="shared" ref="E119:E148" si="16">+I119-G119</f>
        <v>0</v>
      </c>
      <c r="K119" s="17">
        <f t="shared" ref="K119:K182" si="17">+Q119-M119-O119</f>
        <v>0</v>
      </c>
      <c r="U119" s="17">
        <f t="shared" ref="U119:U182" si="18">Y119-W119-S119</f>
        <v>0</v>
      </c>
      <c r="AA119" s="17">
        <f t="shared" si="14"/>
        <v>0</v>
      </c>
      <c r="AC119" s="17">
        <f t="shared" si="15"/>
        <v>0</v>
      </c>
    </row>
    <row r="120" spans="1:29">
      <c r="A120" s="1" t="s">
        <v>382</v>
      </c>
      <c r="B120" s="1"/>
      <c r="C120" s="1" t="s">
        <v>65</v>
      </c>
      <c r="D120" s="30"/>
      <c r="E120" s="17">
        <f t="shared" si="16"/>
        <v>0</v>
      </c>
      <c r="K120" s="17">
        <f t="shared" si="17"/>
        <v>0</v>
      </c>
      <c r="U120" s="17">
        <f t="shared" si="18"/>
        <v>0</v>
      </c>
      <c r="AA120" s="17">
        <f t="shared" si="14"/>
        <v>0</v>
      </c>
      <c r="AC120" s="33">
        <f t="shared" si="15"/>
        <v>0</v>
      </c>
    </row>
    <row r="121" spans="1:29">
      <c r="A121" s="5" t="s">
        <v>218</v>
      </c>
      <c r="B121" s="6"/>
      <c r="C121" s="6" t="s">
        <v>25</v>
      </c>
      <c r="D121" s="30"/>
      <c r="E121" s="17">
        <f t="shared" si="16"/>
        <v>0</v>
      </c>
      <c r="K121" s="17">
        <v>0</v>
      </c>
      <c r="U121" s="17">
        <v>0</v>
      </c>
      <c r="AA121" s="17">
        <v>0</v>
      </c>
    </row>
    <row r="122" spans="1:29">
      <c r="A122" s="1" t="s">
        <v>383</v>
      </c>
      <c r="B122" s="1"/>
      <c r="C122" s="1" t="s">
        <v>22</v>
      </c>
      <c r="E122" s="17">
        <f t="shared" si="16"/>
        <v>0</v>
      </c>
      <c r="K122" s="17">
        <v>0</v>
      </c>
      <c r="U122" s="17">
        <v>0</v>
      </c>
      <c r="AA122" s="17">
        <v>0</v>
      </c>
    </row>
    <row r="123" spans="1:29" s="33" customFormat="1">
      <c r="A123" s="1" t="s">
        <v>519</v>
      </c>
      <c r="B123" s="1"/>
      <c r="C123" s="1" t="s">
        <v>66</v>
      </c>
      <c r="D123" s="17"/>
      <c r="E123" s="17">
        <f t="shared" si="16"/>
        <v>0</v>
      </c>
      <c r="F123" s="17"/>
      <c r="G123" s="17"/>
      <c r="H123" s="17"/>
      <c r="I123" s="17"/>
      <c r="K123" s="33">
        <f>+Q123-M123-O123</f>
        <v>0</v>
      </c>
      <c r="U123" s="33">
        <f>Y123-W123-S123</f>
        <v>0</v>
      </c>
      <c r="AA123" s="33">
        <f t="shared" ref="AA123:AA128" si="19">+I124-Q123-Y123</f>
        <v>0</v>
      </c>
      <c r="AC123" s="33">
        <f t="shared" ref="AC123:AC128" si="20">+E124+G124+-K123-M123-S123-U123-W123-O123</f>
        <v>0</v>
      </c>
    </row>
    <row r="124" spans="1:29">
      <c r="A124" s="5" t="s">
        <v>444</v>
      </c>
      <c r="B124" s="6"/>
      <c r="C124" s="6" t="s">
        <v>236</v>
      </c>
      <c r="D124" s="31"/>
      <c r="E124" s="17">
        <f t="shared" si="16"/>
        <v>0</v>
      </c>
      <c r="F124" s="33"/>
      <c r="G124" s="33"/>
      <c r="H124" s="33"/>
      <c r="I124" s="33"/>
      <c r="K124" s="17">
        <f>+Q124-M124-O124</f>
        <v>0</v>
      </c>
      <c r="U124" s="17">
        <f>Y124-W124-S124</f>
        <v>0</v>
      </c>
      <c r="AA124" s="17">
        <f t="shared" si="19"/>
        <v>0</v>
      </c>
      <c r="AC124" s="33">
        <f t="shared" si="20"/>
        <v>0</v>
      </c>
    </row>
    <row r="125" spans="1:29">
      <c r="A125" s="1" t="s">
        <v>385</v>
      </c>
      <c r="B125" s="1"/>
      <c r="C125" s="1" t="s">
        <v>12</v>
      </c>
      <c r="D125" s="30"/>
      <c r="E125" s="17">
        <f t="shared" si="16"/>
        <v>0</v>
      </c>
      <c r="K125" s="17">
        <f t="shared" si="17"/>
        <v>0</v>
      </c>
      <c r="U125" s="17">
        <f t="shared" si="18"/>
        <v>0</v>
      </c>
      <c r="AA125" s="17">
        <f t="shared" si="19"/>
        <v>0</v>
      </c>
      <c r="AC125" s="17">
        <f t="shared" si="20"/>
        <v>0</v>
      </c>
    </row>
    <row r="126" spans="1:29">
      <c r="A126" s="12" t="s">
        <v>549</v>
      </c>
      <c r="B126" s="12"/>
      <c r="C126" s="12" t="s">
        <v>446</v>
      </c>
      <c r="D126" s="30"/>
      <c r="E126" s="17">
        <f t="shared" si="16"/>
        <v>0</v>
      </c>
      <c r="K126" s="17">
        <f t="shared" si="17"/>
        <v>0</v>
      </c>
      <c r="U126" s="17">
        <f t="shared" si="18"/>
        <v>0</v>
      </c>
      <c r="AA126" s="17">
        <f t="shared" si="19"/>
        <v>0</v>
      </c>
      <c r="AC126" s="33">
        <f t="shared" si="20"/>
        <v>0</v>
      </c>
    </row>
    <row r="127" spans="1:29">
      <c r="A127" s="1" t="s">
        <v>388</v>
      </c>
      <c r="B127" s="1"/>
      <c r="C127" s="1" t="s">
        <v>46</v>
      </c>
      <c r="D127" s="30"/>
      <c r="E127" s="17">
        <f t="shared" si="16"/>
        <v>0</v>
      </c>
      <c r="K127" s="17">
        <f t="shared" si="17"/>
        <v>0</v>
      </c>
      <c r="U127" s="17">
        <f t="shared" si="18"/>
        <v>0</v>
      </c>
      <c r="AA127" s="17">
        <f t="shared" si="19"/>
        <v>0</v>
      </c>
      <c r="AC127" s="33">
        <f t="shared" si="20"/>
        <v>0</v>
      </c>
    </row>
    <row r="128" spans="1:29">
      <c r="A128" s="1" t="s">
        <v>389</v>
      </c>
      <c r="B128" s="1"/>
      <c r="C128" s="1" t="s">
        <v>61</v>
      </c>
      <c r="D128" s="30"/>
      <c r="E128" s="17">
        <f t="shared" si="16"/>
        <v>0</v>
      </c>
      <c r="K128" s="17">
        <f t="shared" si="17"/>
        <v>0</v>
      </c>
      <c r="U128" s="17">
        <f t="shared" si="18"/>
        <v>0</v>
      </c>
      <c r="AA128" s="17">
        <f t="shared" si="19"/>
        <v>0</v>
      </c>
      <c r="AC128" s="33">
        <f t="shared" si="20"/>
        <v>0</v>
      </c>
    </row>
    <row r="129" spans="1:29">
      <c r="A129" s="1" t="s">
        <v>242</v>
      </c>
      <c r="B129" s="1"/>
      <c r="C129" s="1" t="s">
        <v>167</v>
      </c>
      <c r="D129" s="30"/>
      <c r="E129" s="17">
        <f t="shared" si="16"/>
        <v>0</v>
      </c>
      <c r="K129" s="17">
        <f t="shared" si="17"/>
        <v>0</v>
      </c>
      <c r="U129" s="17">
        <f t="shared" si="18"/>
        <v>0</v>
      </c>
      <c r="AA129" s="17" t="e">
        <f>+#REF!-Q129-Y129</f>
        <v>#REF!</v>
      </c>
      <c r="AC129" s="33" t="e">
        <f>+#REF!+#REF!+-K129-M129-S129-U129-W129-O129</f>
        <v>#REF!</v>
      </c>
    </row>
    <row r="130" spans="1:29">
      <c r="A130" s="2" t="s">
        <v>517</v>
      </c>
      <c r="B130" s="2"/>
      <c r="C130" s="2" t="s">
        <v>50</v>
      </c>
      <c r="D130" s="34"/>
      <c r="E130" s="17">
        <f t="shared" si="16"/>
        <v>0</v>
      </c>
      <c r="K130" s="17">
        <f t="shared" si="17"/>
        <v>0</v>
      </c>
      <c r="U130" s="17">
        <f t="shared" si="18"/>
        <v>0</v>
      </c>
      <c r="AA130" s="17">
        <f t="shared" ref="AA130:AA149" si="21">+I131-Q130-Y130</f>
        <v>0</v>
      </c>
      <c r="AC130" s="33">
        <f t="shared" ref="AC130:AC149" si="22">+E131+G131+-K130-M130-S130-U130-W130-O130</f>
        <v>0</v>
      </c>
    </row>
    <row r="131" spans="1:29">
      <c r="A131" s="1" t="s">
        <v>521</v>
      </c>
      <c r="B131" s="1"/>
      <c r="C131" s="1" t="s">
        <v>62</v>
      </c>
      <c r="D131" s="34"/>
      <c r="E131" s="17">
        <f t="shared" si="16"/>
        <v>0</v>
      </c>
      <c r="K131" s="17">
        <f t="shared" si="17"/>
        <v>0</v>
      </c>
      <c r="U131" s="17">
        <f t="shared" si="18"/>
        <v>0</v>
      </c>
      <c r="AA131" s="17">
        <f t="shared" si="21"/>
        <v>0</v>
      </c>
      <c r="AC131" s="33">
        <f t="shared" si="22"/>
        <v>0</v>
      </c>
    </row>
    <row r="132" spans="1:29">
      <c r="A132" s="1" t="s">
        <v>393</v>
      </c>
      <c r="B132" s="1"/>
      <c r="C132" s="1" t="s">
        <v>68</v>
      </c>
      <c r="D132" s="34"/>
      <c r="E132" s="17">
        <f t="shared" si="16"/>
        <v>0</v>
      </c>
      <c r="K132" s="17">
        <f t="shared" si="17"/>
        <v>0</v>
      </c>
      <c r="U132" s="17">
        <f t="shared" si="18"/>
        <v>0</v>
      </c>
      <c r="AA132" s="17">
        <f t="shared" si="21"/>
        <v>0</v>
      </c>
      <c r="AC132" s="33">
        <f t="shared" si="22"/>
        <v>0</v>
      </c>
    </row>
    <row r="133" spans="1:29">
      <c r="A133" s="1" t="s">
        <v>550</v>
      </c>
      <c r="B133" s="1"/>
      <c r="C133" s="1" t="s">
        <v>44</v>
      </c>
      <c r="D133" s="34"/>
      <c r="E133" s="17">
        <f t="shared" si="16"/>
        <v>0</v>
      </c>
      <c r="K133" s="17">
        <f t="shared" si="17"/>
        <v>0</v>
      </c>
      <c r="U133" s="17">
        <f t="shared" si="18"/>
        <v>0</v>
      </c>
      <c r="AA133" s="17">
        <f t="shared" si="21"/>
        <v>0</v>
      </c>
      <c r="AC133" s="33">
        <f t="shared" si="22"/>
        <v>0</v>
      </c>
    </row>
    <row r="134" spans="1:29">
      <c r="A134" s="1" t="s">
        <v>396</v>
      </c>
      <c r="B134" s="1"/>
      <c r="C134" s="1" t="s">
        <v>13</v>
      </c>
      <c r="D134" s="34"/>
      <c r="E134" s="17">
        <f t="shared" si="16"/>
        <v>0</v>
      </c>
      <c r="K134" s="17">
        <f>+Q134-M134-O134</f>
        <v>0</v>
      </c>
      <c r="U134" s="17">
        <f>Y134-W134-S134</f>
        <v>0</v>
      </c>
      <c r="AA134" s="17">
        <f t="shared" si="21"/>
        <v>0</v>
      </c>
      <c r="AC134" s="33">
        <f t="shared" si="22"/>
        <v>0</v>
      </c>
    </row>
    <row r="135" spans="1:29">
      <c r="A135" s="5" t="s">
        <v>255</v>
      </c>
      <c r="B135" s="6"/>
      <c r="C135" s="6" t="s">
        <v>25</v>
      </c>
      <c r="D135" s="34"/>
      <c r="E135" s="17">
        <f t="shared" si="16"/>
        <v>0</v>
      </c>
      <c r="K135" s="17">
        <f t="shared" si="17"/>
        <v>0</v>
      </c>
      <c r="U135" s="17">
        <f t="shared" si="18"/>
        <v>0</v>
      </c>
      <c r="AA135" s="17">
        <f t="shared" si="21"/>
        <v>0</v>
      </c>
      <c r="AC135" s="33">
        <f t="shared" si="22"/>
        <v>0</v>
      </c>
    </row>
    <row r="136" spans="1:29">
      <c r="A136" s="12" t="s">
        <v>258</v>
      </c>
      <c r="B136" s="12"/>
      <c r="C136" s="12" t="s">
        <v>22</v>
      </c>
      <c r="D136" s="34"/>
      <c r="E136" s="17">
        <f t="shared" si="16"/>
        <v>0</v>
      </c>
      <c r="K136" s="17">
        <f t="shared" si="17"/>
        <v>0</v>
      </c>
      <c r="U136" s="17">
        <f t="shared" si="18"/>
        <v>0</v>
      </c>
      <c r="AA136" s="17">
        <f t="shared" si="21"/>
        <v>0</v>
      </c>
      <c r="AC136" s="33">
        <f t="shared" si="22"/>
        <v>0</v>
      </c>
    </row>
    <row r="137" spans="1:29">
      <c r="A137" s="12" t="s">
        <v>448</v>
      </c>
      <c r="B137" s="12"/>
      <c r="C137" s="12" t="s">
        <v>53</v>
      </c>
      <c r="D137" s="34"/>
      <c r="E137" s="17">
        <f t="shared" si="16"/>
        <v>0</v>
      </c>
      <c r="K137" s="17">
        <f t="shared" si="17"/>
        <v>0</v>
      </c>
      <c r="U137" s="17">
        <f t="shared" si="18"/>
        <v>0</v>
      </c>
      <c r="AA137" s="17">
        <f t="shared" si="21"/>
        <v>0</v>
      </c>
      <c r="AC137" s="33">
        <f t="shared" si="22"/>
        <v>0</v>
      </c>
    </row>
    <row r="138" spans="1:29">
      <c r="A138" s="12" t="s">
        <v>263</v>
      </c>
      <c r="B138" s="12"/>
      <c r="C138" s="12" t="s">
        <v>318</v>
      </c>
      <c r="D138" s="34"/>
      <c r="E138" s="17">
        <f t="shared" si="16"/>
        <v>0</v>
      </c>
      <c r="K138" s="17">
        <f t="shared" si="17"/>
        <v>0</v>
      </c>
      <c r="U138" s="17">
        <f t="shared" si="18"/>
        <v>0</v>
      </c>
      <c r="AA138" s="17">
        <f t="shared" si="21"/>
        <v>0</v>
      </c>
      <c r="AC138" s="33">
        <f t="shared" si="22"/>
        <v>0</v>
      </c>
    </row>
    <row r="139" spans="1:29">
      <c r="A139" s="12" t="s">
        <v>449</v>
      </c>
      <c r="B139" s="12"/>
      <c r="C139" s="12" t="s">
        <v>53</v>
      </c>
      <c r="D139" s="34"/>
      <c r="E139" s="17">
        <f t="shared" si="16"/>
        <v>0</v>
      </c>
      <c r="K139" s="17">
        <f t="shared" si="17"/>
        <v>0</v>
      </c>
      <c r="U139" s="17">
        <f t="shared" si="18"/>
        <v>0</v>
      </c>
      <c r="AA139" s="17">
        <f t="shared" si="21"/>
        <v>0</v>
      </c>
      <c r="AC139" s="33">
        <f t="shared" si="22"/>
        <v>0</v>
      </c>
    </row>
    <row r="140" spans="1:29">
      <c r="A140" s="12" t="s">
        <v>265</v>
      </c>
      <c r="B140" s="12"/>
      <c r="C140" s="12" t="s">
        <v>26</v>
      </c>
      <c r="D140" s="34"/>
      <c r="E140" s="17">
        <f t="shared" si="16"/>
        <v>0</v>
      </c>
      <c r="K140" s="17">
        <f t="shared" si="17"/>
        <v>0</v>
      </c>
      <c r="U140" s="17">
        <f t="shared" si="18"/>
        <v>0</v>
      </c>
      <c r="AA140" s="17">
        <f t="shared" si="21"/>
        <v>0</v>
      </c>
      <c r="AC140" s="33">
        <f t="shared" si="22"/>
        <v>0</v>
      </c>
    </row>
    <row r="141" spans="1:29">
      <c r="A141" s="12" t="s">
        <v>319</v>
      </c>
      <c r="B141" s="12"/>
      <c r="C141" s="12" t="s">
        <v>22</v>
      </c>
      <c r="D141" s="34"/>
      <c r="E141" s="17">
        <f t="shared" si="16"/>
        <v>0</v>
      </c>
      <c r="K141" s="17">
        <f t="shared" si="17"/>
        <v>0</v>
      </c>
      <c r="U141" s="17">
        <f t="shared" si="18"/>
        <v>0</v>
      </c>
      <c r="AA141" s="17">
        <f t="shared" si="21"/>
        <v>0</v>
      </c>
      <c r="AC141" s="33">
        <f t="shared" si="22"/>
        <v>0</v>
      </c>
    </row>
    <row r="142" spans="1:29">
      <c r="A142" s="12" t="s">
        <v>346</v>
      </c>
      <c r="B142" s="12"/>
      <c r="C142" s="12" t="s">
        <v>27</v>
      </c>
      <c r="D142" s="34"/>
      <c r="E142" s="17">
        <f t="shared" si="16"/>
        <v>0</v>
      </c>
      <c r="K142" s="17">
        <f>+Q142-M142-O142</f>
        <v>0</v>
      </c>
      <c r="U142" s="17">
        <f>Y142-W142-S142</f>
        <v>0</v>
      </c>
      <c r="AA142" s="17">
        <f t="shared" si="21"/>
        <v>0</v>
      </c>
      <c r="AC142" s="17">
        <f t="shared" si="22"/>
        <v>0</v>
      </c>
    </row>
    <row r="143" spans="1:29">
      <c r="A143" s="1" t="s">
        <v>272</v>
      </c>
      <c r="B143" s="1"/>
      <c r="C143" s="1" t="s">
        <v>65</v>
      </c>
      <c r="D143" s="30"/>
      <c r="E143" s="17">
        <f t="shared" si="16"/>
        <v>0</v>
      </c>
      <c r="K143" s="17">
        <f t="shared" si="17"/>
        <v>0</v>
      </c>
      <c r="U143" s="17">
        <f t="shared" si="18"/>
        <v>0</v>
      </c>
      <c r="AA143" s="17">
        <f t="shared" si="21"/>
        <v>0</v>
      </c>
      <c r="AC143" s="33">
        <f t="shared" si="22"/>
        <v>0</v>
      </c>
    </row>
    <row r="144" spans="1:29">
      <c r="A144" s="1" t="s">
        <v>39</v>
      </c>
      <c r="B144" s="1"/>
      <c r="C144" s="1" t="s">
        <v>15</v>
      </c>
      <c r="D144" s="34"/>
      <c r="E144" s="17">
        <f t="shared" si="16"/>
        <v>0</v>
      </c>
      <c r="K144" s="17">
        <f t="shared" si="17"/>
        <v>0</v>
      </c>
      <c r="U144" s="17">
        <f t="shared" si="18"/>
        <v>0</v>
      </c>
      <c r="AA144" s="17">
        <f t="shared" si="21"/>
        <v>0</v>
      </c>
      <c r="AC144" s="33">
        <f t="shared" si="22"/>
        <v>0</v>
      </c>
    </row>
    <row r="145" spans="1:31">
      <c r="A145" s="12" t="s">
        <v>276</v>
      </c>
      <c r="B145" s="12"/>
      <c r="C145" s="12" t="s">
        <v>15</v>
      </c>
      <c r="D145" s="34"/>
      <c r="E145" s="17">
        <f t="shared" si="16"/>
        <v>0</v>
      </c>
      <c r="K145" s="17">
        <f t="shared" si="17"/>
        <v>0</v>
      </c>
      <c r="U145" s="17">
        <f t="shared" si="18"/>
        <v>0</v>
      </c>
      <c r="AA145" s="17">
        <f t="shared" si="21"/>
        <v>0</v>
      </c>
      <c r="AC145" s="33">
        <f t="shared" si="22"/>
        <v>0</v>
      </c>
    </row>
    <row r="146" spans="1:31">
      <c r="A146" s="1" t="s">
        <v>398</v>
      </c>
      <c r="B146" s="1"/>
      <c r="C146" s="1" t="s">
        <v>69</v>
      </c>
      <c r="D146" s="34"/>
      <c r="E146" s="17">
        <f t="shared" si="16"/>
        <v>0</v>
      </c>
      <c r="K146" s="17">
        <f t="shared" si="17"/>
        <v>0</v>
      </c>
      <c r="U146" s="17">
        <f t="shared" si="18"/>
        <v>0</v>
      </c>
      <c r="AA146" s="17">
        <f t="shared" si="21"/>
        <v>0</v>
      </c>
      <c r="AC146" s="33">
        <f t="shared" si="22"/>
        <v>0</v>
      </c>
    </row>
    <row r="147" spans="1:31">
      <c r="A147" s="12" t="s">
        <v>279</v>
      </c>
      <c r="B147" s="12"/>
      <c r="C147" s="12" t="s">
        <v>92</v>
      </c>
      <c r="D147" s="34"/>
      <c r="E147" s="17">
        <f t="shared" si="16"/>
        <v>0</v>
      </c>
      <c r="K147" s="17">
        <f t="shared" si="17"/>
        <v>0</v>
      </c>
      <c r="U147" s="17">
        <f t="shared" si="18"/>
        <v>0</v>
      </c>
      <c r="AA147" s="17">
        <f t="shared" si="21"/>
        <v>0</v>
      </c>
      <c r="AC147" s="33">
        <f t="shared" si="22"/>
        <v>0</v>
      </c>
    </row>
    <row r="148" spans="1:31">
      <c r="A148" s="1" t="s">
        <v>280</v>
      </c>
      <c r="B148" s="1"/>
      <c r="C148" s="1" t="s">
        <v>55</v>
      </c>
      <c r="D148" s="34"/>
      <c r="E148" s="17">
        <f t="shared" si="16"/>
        <v>0</v>
      </c>
      <c r="K148" s="17">
        <f t="shared" si="17"/>
        <v>0</v>
      </c>
      <c r="U148" s="17">
        <f t="shared" si="18"/>
        <v>0</v>
      </c>
      <c r="AA148" s="17">
        <f t="shared" si="21"/>
        <v>0</v>
      </c>
      <c r="AC148" s="33">
        <f t="shared" si="22"/>
        <v>0</v>
      </c>
    </row>
    <row r="149" spans="1:31" ht="12.75">
      <c r="A149" s="16"/>
      <c r="B149" s="16"/>
      <c r="C149" s="16"/>
      <c r="D149" s="34"/>
      <c r="K149" s="17">
        <f t="shared" si="17"/>
        <v>0</v>
      </c>
      <c r="U149" s="17">
        <f t="shared" si="18"/>
        <v>0</v>
      </c>
      <c r="AA149" s="17">
        <f t="shared" si="21"/>
        <v>0</v>
      </c>
      <c r="AC149" s="33">
        <f t="shared" si="22"/>
        <v>0</v>
      </c>
    </row>
    <row r="150" spans="1:31">
      <c r="A150" s="34"/>
      <c r="B150" s="34"/>
      <c r="C150" s="34"/>
      <c r="D150" s="34"/>
      <c r="K150" s="17">
        <f t="shared" si="17"/>
        <v>0</v>
      </c>
      <c r="U150" s="17">
        <f t="shared" si="18"/>
        <v>0</v>
      </c>
      <c r="AA150" s="17" t="e">
        <f>+#REF!-Q150-Y150</f>
        <v>#REF!</v>
      </c>
      <c r="AC150" s="33" t="e">
        <f>+#REF!+#REF!+-K150-M150-S150-U150-W150-O150</f>
        <v>#REF!</v>
      </c>
    </row>
    <row r="151" spans="1:31">
      <c r="A151" s="34"/>
      <c r="B151" s="34"/>
      <c r="C151" s="34"/>
      <c r="D151" s="34"/>
      <c r="K151" s="17">
        <f t="shared" si="17"/>
        <v>0</v>
      </c>
      <c r="U151" s="17">
        <f t="shared" si="18"/>
        <v>0</v>
      </c>
      <c r="AA151" s="17">
        <f t="shared" ref="AA151:AA188" si="23">+I151-Q151-Y151</f>
        <v>0</v>
      </c>
      <c r="AC151" s="33">
        <f t="shared" ref="AC151:AC188" si="24">+E151+G151+-K151-M151-S151-U151-W151-O151</f>
        <v>0</v>
      </c>
    </row>
    <row r="152" spans="1:31">
      <c r="A152" s="34"/>
      <c r="B152" s="34"/>
      <c r="C152" s="34"/>
      <c r="D152" s="34"/>
      <c r="K152" s="17">
        <f t="shared" si="17"/>
        <v>0</v>
      </c>
      <c r="U152" s="17">
        <f t="shared" si="18"/>
        <v>0</v>
      </c>
      <c r="AA152" s="17">
        <f t="shared" si="23"/>
        <v>0</v>
      </c>
      <c r="AC152" s="33">
        <f t="shared" si="24"/>
        <v>0</v>
      </c>
    </row>
    <row r="153" spans="1:31">
      <c r="A153" s="34"/>
      <c r="B153" s="34"/>
      <c r="C153" s="34"/>
      <c r="D153" s="34"/>
      <c r="K153" s="17">
        <f t="shared" si="17"/>
        <v>0</v>
      </c>
      <c r="U153" s="17">
        <f t="shared" si="18"/>
        <v>0</v>
      </c>
      <c r="AA153" s="17">
        <f t="shared" si="23"/>
        <v>0</v>
      </c>
      <c r="AC153" s="33">
        <f t="shared" si="24"/>
        <v>0</v>
      </c>
    </row>
    <row r="154" spans="1:31">
      <c r="A154" s="34"/>
      <c r="B154" s="34"/>
      <c r="C154" s="34"/>
      <c r="D154" s="34"/>
      <c r="K154" s="17">
        <f t="shared" si="17"/>
        <v>0</v>
      </c>
      <c r="U154" s="17">
        <f t="shared" si="18"/>
        <v>0</v>
      </c>
      <c r="AA154" s="17">
        <f t="shared" si="23"/>
        <v>0</v>
      </c>
      <c r="AC154" s="33">
        <f t="shared" si="24"/>
        <v>0</v>
      </c>
    </row>
    <row r="155" spans="1:31">
      <c r="A155" s="34"/>
      <c r="B155" s="34"/>
      <c r="C155" s="34"/>
      <c r="D155" s="34"/>
      <c r="K155" s="17">
        <f t="shared" si="17"/>
        <v>0</v>
      </c>
      <c r="U155" s="17">
        <f t="shared" si="18"/>
        <v>0</v>
      </c>
      <c r="AA155" s="17">
        <f t="shared" si="23"/>
        <v>0</v>
      </c>
      <c r="AC155" s="33">
        <f t="shared" si="24"/>
        <v>0</v>
      </c>
    </row>
    <row r="156" spans="1:31">
      <c r="A156" s="34"/>
      <c r="B156" s="34"/>
      <c r="C156" s="34"/>
      <c r="D156" s="34"/>
      <c r="K156" s="17">
        <f t="shared" si="17"/>
        <v>0</v>
      </c>
      <c r="U156" s="17">
        <f t="shared" si="18"/>
        <v>0</v>
      </c>
      <c r="AA156" s="17">
        <f t="shared" si="23"/>
        <v>0</v>
      </c>
      <c r="AC156" s="33">
        <f t="shared" si="24"/>
        <v>0</v>
      </c>
    </row>
    <row r="157" spans="1:31">
      <c r="A157" s="34"/>
      <c r="B157" s="34"/>
      <c r="C157" s="34"/>
      <c r="D157" s="34"/>
      <c r="K157" s="17">
        <f t="shared" si="17"/>
        <v>0</v>
      </c>
      <c r="U157" s="17">
        <f t="shared" si="18"/>
        <v>0</v>
      </c>
      <c r="AA157" s="17">
        <f t="shared" si="23"/>
        <v>0</v>
      </c>
      <c r="AC157" s="33">
        <f t="shared" si="24"/>
        <v>0</v>
      </c>
    </row>
    <row r="158" spans="1:31">
      <c r="A158" s="34"/>
      <c r="B158" s="34"/>
      <c r="C158" s="34"/>
      <c r="D158" s="34"/>
      <c r="K158" s="17">
        <f t="shared" si="17"/>
        <v>0</v>
      </c>
      <c r="U158" s="17">
        <f t="shared" si="18"/>
        <v>0</v>
      </c>
      <c r="AA158" s="17">
        <f t="shared" si="23"/>
        <v>0</v>
      </c>
      <c r="AC158" s="33">
        <f t="shared" si="24"/>
        <v>0</v>
      </c>
      <c r="AE158" s="17" t="s">
        <v>544</v>
      </c>
    </row>
    <row r="159" spans="1:31">
      <c r="A159" s="34"/>
      <c r="B159" s="34"/>
      <c r="C159" s="34"/>
      <c r="D159" s="34"/>
      <c r="K159" s="17">
        <f t="shared" si="17"/>
        <v>0</v>
      </c>
      <c r="U159" s="17">
        <f t="shared" si="18"/>
        <v>0</v>
      </c>
      <c r="AA159" s="17">
        <f t="shared" si="23"/>
        <v>0</v>
      </c>
      <c r="AC159" s="33">
        <f t="shared" si="24"/>
        <v>0</v>
      </c>
    </row>
    <row r="160" spans="1:31">
      <c r="A160" s="34"/>
      <c r="B160" s="34"/>
      <c r="C160" s="34"/>
      <c r="D160" s="34"/>
      <c r="K160" s="17">
        <f t="shared" si="17"/>
        <v>0</v>
      </c>
      <c r="U160" s="17">
        <f t="shared" si="18"/>
        <v>0</v>
      </c>
      <c r="AA160" s="17">
        <f t="shared" si="23"/>
        <v>0</v>
      </c>
      <c r="AC160" s="33">
        <f t="shared" si="24"/>
        <v>0</v>
      </c>
    </row>
    <row r="161" spans="1:29">
      <c r="A161" s="34"/>
      <c r="B161" s="34"/>
      <c r="C161" s="34"/>
      <c r="D161" s="34"/>
      <c r="K161" s="17">
        <f t="shared" si="17"/>
        <v>0</v>
      </c>
      <c r="U161" s="17">
        <f t="shared" si="18"/>
        <v>0</v>
      </c>
      <c r="AA161" s="17">
        <f t="shared" si="23"/>
        <v>0</v>
      </c>
      <c r="AC161" s="33">
        <f t="shared" si="24"/>
        <v>0</v>
      </c>
    </row>
    <row r="162" spans="1:29">
      <c r="A162" s="34"/>
      <c r="B162" s="34"/>
      <c r="C162" s="34"/>
      <c r="D162" s="34"/>
      <c r="K162" s="17">
        <f t="shared" si="17"/>
        <v>0</v>
      </c>
      <c r="U162" s="17">
        <f t="shared" si="18"/>
        <v>0</v>
      </c>
      <c r="AA162" s="17">
        <f t="shared" si="23"/>
        <v>0</v>
      </c>
      <c r="AC162" s="33">
        <f t="shared" si="24"/>
        <v>0</v>
      </c>
    </row>
    <row r="163" spans="1:29">
      <c r="A163" s="34"/>
      <c r="B163" s="34"/>
      <c r="C163" s="34"/>
      <c r="D163" s="34"/>
      <c r="K163" s="17">
        <f t="shared" si="17"/>
        <v>0</v>
      </c>
      <c r="U163" s="17">
        <f t="shared" si="18"/>
        <v>0</v>
      </c>
      <c r="AA163" s="17">
        <f>+I163-Q163-Y163</f>
        <v>0</v>
      </c>
      <c r="AC163" s="33">
        <f t="shared" si="24"/>
        <v>0</v>
      </c>
    </row>
    <row r="164" spans="1:29">
      <c r="A164" s="34"/>
      <c r="B164" s="34"/>
      <c r="C164" s="34"/>
      <c r="D164" s="34"/>
      <c r="K164" s="17">
        <f t="shared" si="17"/>
        <v>0</v>
      </c>
      <c r="U164" s="17">
        <f t="shared" si="18"/>
        <v>0</v>
      </c>
      <c r="AA164" s="17">
        <f t="shared" si="23"/>
        <v>0</v>
      </c>
      <c r="AC164" s="33">
        <f t="shared" si="24"/>
        <v>0</v>
      </c>
    </row>
    <row r="165" spans="1:29">
      <c r="A165" s="34"/>
      <c r="B165" s="34"/>
      <c r="C165" s="34"/>
      <c r="D165" s="34"/>
      <c r="K165" s="17">
        <f t="shared" si="17"/>
        <v>0</v>
      </c>
      <c r="U165" s="17">
        <f t="shared" si="18"/>
        <v>0</v>
      </c>
      <c r="AA165" s="17">
        <f t="shared" si="23"/>
        <v>0</v>
      </c>
      <c r="AC165" s="33">
        <f t="shared" si="24"/>
        <v>0</v>
      </c>
    </row>
    <row r="166" spans="1:29">
      <c r="A166" s="34"/>
      <c r="B166" s="34"/>
      <c r="C166" s="34"/>
      <c r="D166" s="34"/>
      <c r="K166" s="17">
        <f t="shared" si="17"/>
        <v>0</v>
      </c>
      <c r="U166" s="17">
        <f t="shared" si="18"/>
        <v>0</v>
      </c>
      <c r="AA166" s="17">
        <f t="shared" si="23"/>
        <v>0</v>
      </c>
      <c r="AC166" s="33">
        <f t="shared" si="24"/>
        <v>0</v>
      </c>
    </row>
    <row r="167" spans="1:29">
      <c r="A167" s="34"/>
      <c r="B167" s="34"/>
      <c r="C167" s="34"/>
      <c r="D167" s="34"/>
      <c r="K167" s="17">
        <f t="shared" si="17"/>
        <v>0</v>
      </c>
      <c r="U167" s="17">
        <f t="shared" si="18"/>
        <v>0</v>
      </c>
      <c r="AA167" s="17">
        <f t="shared" si="23"/>
        <v>0</v>
      </c>
      <c r="AC167" s="33">
        <f t="shared" si="24"/>
        <v>0</v>
      </c>
    </row>
    <row r="168" spans="1:29">
      <c r="A168" s="34"/>
      <c r="B168" s="34"/>
      <c r="C168" s="34"/>
      <c r="D168" s="34"/>
      <c r="K168" s="17">
        <f t="shared" si="17"/>
        <v>0</v>
      </c>
      <c r="U168" s="17">
        <f t="shared" si="18"/>
        <v>0</v>
      </c>
      <c r="AA168" s="17">
        <f t="shared" si="23"/>
        <v>0</v>
      </c>
      <c r="AC168" s="33">
        <f t="shared" si="24"/>
        <v>0</v>
      </c>
    </row>
    <row r="169" spans="1:29">
      <c r="A169" s="34"/>
      <c r="B169" s="34"/>
      <c r="C169" s="34"/>
      <c r="D169" s="34"/>
      <c r="K169" s="17">
        <f t="shared" si="17"/>
        <v>0</v>
      </c>
      <c r="U169" s="17">
        <f t="shared" si="18"/>
        <v>0</v>
      </c>
      <c r="AA169" s="17">
        <f t="shared" si="23"/>
        <v>0</v>
      </c>
      <c r="AC169" s="33">
        <f t="shared" si="24"/>
        <v>0</v>
      </c>
    </row>
    <row r="170" spans="1:29">
      <c r="A170" s="34"/>
      <c r="B170" s="34"/>
      <c r="C170" s="34"/>
      <c r="D170" s="34"/>
      <c r="K170" s="17">
        <f t="shared" si="17"/>
        <v>0</v>
      </c>
      <c r="U170" s="17">
        <f t="shared" si="18"/>
        <v>0</v>
      </c>
      <c r="AA170" s="17">
        <f t="shared" si="23"/>
        <v>0</v>
      </c>
      <c r="AC170" s="33">
        <f t="shared" si="24"/>
        <v>0</v>
      </c>
    </row>
    <row r="171" spans="1:29">
      <c r="A171" s="34"/>
      <c r="B171" s="34"/>
      <c r="C171" s="34"/>
      <c r="D171" s="34"/>
      <c r="K171" s="17">
        <f t="shared" si="17"/>
        <v>0</v>
      </c>
      <c r="U171" s="17">
        <f t="shared" si="18"/>
        <v>0</v>
      </c>
      <c r="AA171" s="17">
        <f t="shared" si="23"/>
        <v>0</v>
      </c>
      <c r="AC171" s="33">
        <f t="shared" si="24"/>
        <v>0</v>
      </c>
    </row>
    <row r="172" spans="1:29">
      <c r="A172" s="34"/>
      <c r="B172" s="34"/>
      <c r="C172" s="34"/>
      <c r="D172" s="34"/>
      <c r="K172" s="17">
        <f t="shared" si="17"/>
        <v>0</v>
      </c>
      <c r="U172" s="17">
        <f t="shared" si="18"/>
        <v>0</v>
      </c>
      <c r="AA172" s="17">
        <f t="shared" si="23"/>
        <v>0</v>
      </c>
      <c r="AC172" s="33">
        <f t="shared" si="24"/>
        <v>0</v>
      </c>
    </row>
    <row r="173" spans="1:29">
      <c r="A173" s="34"/>
      <c r="B173" s="34"/>
      <c r="C173" s="34"/>
      <c r="D173" s="34"/>
      <c r="K173" s="17">
        <f t="shared" si="17"/>
        <v>0</v>
      </c>
      <c r="U173" s="17">
        <f t="shared" si="18"/>
        <v>0</v>
      </c>
      <c r="AA173" s="17">
        <f t="shared" si="23"/>
        <v>0</v>
      </c>
      <c r="AC173" s="33">
        <f t="shared" si="24"/>
        <v>0</v>
      </c>
    </row>
    <row r="174" spans="1:29">
      <c r="A174" s="34"/>
      <c r="B174" s="34"/>
      <c r="C174" s="34"/>
      <c r="D174" s="34"/>
      <c r="K174" s="17">
        <f>+Q174-M174-O174</f>
        <v>0</v>
      </c>
      <c r="U174" s="17">
        <f>Y174-W174-S174</f>
        <v>0</v>
      </c>
      <c r="AA174" s="17">
        <f>+I174-Q174-Y174</f>
        <v>0</v>
      </c>
      <c r="AC174" s="33">
        <f>+E174+G174+-K174-M174-S174-U174-W174-O174</f>
        <v>0</v>
      </c>
    </row>
    <row r="175" spans="1:29">
      <c r="A175" s="34"/>
      <c r="B175" s="34"/>
      <c r="C175" s="34"/>
      <c r="D175" s="34"/>
      <c r="K175" s="17">
        <f t="shared" si="17"/>
        <v>0</v>
      </c>
      <c r="U175" s="17">
        <f t="shared" si="18"/>
        <v>0</v>
      </c>
      <c r="AA175" s="17">
        <f t="shared" si="23"/>
        <v>0</v>
      </c>
      <c r="AC175" s="33">
        <f t="shared" si="24"/>
        <v>0</v>
      </c>
    </row>
    <row r="176" spans="1:29">
      <c r="A176" s="34"/>
      <c r="B176" s="34"/>
      <c r="C176" s="34"/>
      <c r="D176" s="34"/>
      <c r="K176" s="17">
        <f t="shared" si="17"/>
        <v>0</v>
      </c>
      <c r="U176" s="17">
        <f t="shared" si="18"/>
        <v>0</v>
      </c>
      <c r="AA176" s="17">
        <f t="shared" si="23"/>
        <v>0</v>
      </c>
      <c r="AC176" s="33">
        <f t="shared" si="24"/>
        <v>0</v>
      </c>
    </row>
    <row r="177" spans="1:29">
      <c r="A177" s="34"/>
      <c r="B177" s="34"/>
      <c r="C177" s="34"/>
      <c r="D177" s="34"/>
      <c r="K177" s="17">
        <f t="shared" si="17"/>
        <v>0</v>
      </c>
      <c r="U177" s="17">
        <f t="shared" si="18"/>
        <v>0</v>
      </c>
      <c r="AA177" s="17">
        <f t="shared" si="23"/>
        <v>0</v>
      </c>
      <c r="AC177" s="33">
        <f t="shared" si="24"/>
        <v>0</v>
      </c>
    </row>
    <row r="178" spans="1:29">
      <c r="A178" s="34"/>
      <c r="B178" s="34"/>
      <c r="C178" s="34"/>
      <c r="D178" s="34"/>
      <c r="K178" s="17">
        <f>+Q178-M178-O178</f>
        <v>0</v>
      </c>
      <c r="U178" s="17">
        <f>Y178-W178-S178</f>
        <v>0</v>
      </c>
      <c r="AA178" s="17">
        <f>+I178-Q178-Y178</f>
        <v>0</v>
      </c>
      <c r="AC178" s="33">
        <f>+E178+G178+-K178-M178-S178-U178-W178-O178</f>
        <v>0</v>
      </c>
    </row>
    <row r="179" spans="1:29">
      <c r="A179" s="34"/>
      <c r="B179" s="34"/>
      <c r="C179" s="34"/>
      <c r="D179" s="34"/>
      <c r="K179" s="17">
        <f t="shared" si="17"/>
        <v>0</v>
      </c>
      <c r="U179" s="17">
        <f>Y179-W179-S179</f>
        <v>0</v>
      </c>
      <c r="AA179" s="17">
        <f t="shared" si="23"/>
        <v>0</v>
      </c>
      <c r="AC179" s="33">
        <f t="shared" si="24"/>
        <v>0</v>
      </c>
    </row>
    <row r="180" spans="1:29">
      <c r="A180" s="34"/>
      <c r="B180" s="34"/>
      <c r="C180" s="34"/>
      <c r="D180" s="34"/>
      <c r="K180" s="17">
        <f t="shared" si="17"/>
        <v>0</v>
      </c>
      <c r="U180" s="17">
        <f t="shared" si="18"/>
        <v>0</v>
      </c>
      <c r="AA180" s="17">
        <f t="shared" si="23"/>
        <v>0</v>
      </c>
      <c r="AC180" s="33">
        <f t="shared" si="24"/>
        <v>0</v>
      </c>
    </row>
    <row r="181" spans="1:29">
      <c r="A181" s="34"/>
      <c r="B181" s="34"/>
      <c r="C181" s="34"/>
      <c r="D181" s="34"/>
      <c r="K181" s="17">
        <f t="shared" si="17"/>
        <v>0</v>
      </c>
      <c r="U181" s="17">
        <f t="shared" si="18"/>
        <v>0</v>
      </c>
      <c r="AA181" s="17">
        <f t="shared" si="23"/>
        <v>0</v>
      </c>
      <c r="AC181" s="33">
        <f t="shared" si="24"/>
        <v>0</v>
      </c>
    </row>
    <row r="182" spans="1:29">
      <c r="A182" s="34"/>
      <c r="B182" s="34"/>
      <c r="C182" s="34"/>
      <c r="D182" s="34"/>
      <c r="K182" s="17">
        <f t="shared" si="17"/>
        <v>0</v>
      </c>
      <c r="U182" s="17">
        <f t="shared" si="18"/>
        <v>0</v>
      </c>
      <c r="AA182" s="17">
        <f t="shared" si="23"/>
        <v>0</v>
      </c>
      <c r="AC182" s="33">
        <f t="shared" si="24"/>
        <v>0</v>
      </c>
    </row>
    <row r="183" spans="1:29">
      <c r="A183" s="34"/>
      <c r="B183" s="34"/>
      <c r="C183" s="34"/>
      <c r="D183" s="34"/>
      <c r="K183" s="17">
        <f>+Q183-M183-O183</f>
        <v>0</v>
      </c>
      <c r="U183" s="17">
        <f>Y183-W183-S183</f>
        <v>0</v>
      </c>
      <c r="AA183" s="17">
        <f t="shared" si="23"/>
        <v>0</v>
      </c>
      <c r="AC183" s="33">
        <f t="shared" si="24"/>
        <v>0</v>
      </c>
    </row>
    <row r="184" spans="1:29">
      <c r="A184" s="34"/>
      <c r="B184" s="34"/>
      <c r="C184" s="34"/>
      <c r="D184" s="34"/>
      <c r="K184" s="17">
        <f>+Q184-M184-O184</f>
        <v>0</v>
      </c>
      <c r="U184" s="17">
        <f>Y184-W184-S184</f>
        <v>0</v>
      </c>
      <c r="AA184" s="17">
        <f t="shared" si="23"/>
        <v>0</v>
      </c>
      <c r="AC184" s="33">
        <f t="shared" si="24"/>
        <v>0</v>
      </c>
    </row>
    <row r="185" spans="1:29">
      <c r="A185" s="34"/>
      <c r="B185" s="34"/>
      <c r="C185" s="34"/>
      <c r="D185" s="34"/>
      <c r="K185" s="17">
        <f>+Q185-M185-O185</f>
        <v>0</v>
      </c>
      <c r="U185" s="17">
        <f>Y185-W185-S185</f>
        <v>0</v>
      </c>
      <c r="AA185" s="17">
        <f t="shared" si="23"/>
        <v>0</v>
      </c>
      <c r="AC185" s="33">
        <f t="shared" si="24"/>
        <v>0</v>
      </c>
    </row>
    <row r="186" spans="1:29">
      <c r="A186" s="34"/>
      <c r="B186" s="34"/>
      <c r="C186" s="34"/>
      <c r="D186" s="34"/>
      <c r="K186" s="17">
        <f>+Q186-M186-O186</f>
        <v>0</v>
      </c>
      <c r="U186" s="17">
        <f>Y186-W186-S186</f>
        <v>0</v>
      </c>
      <c r="AA186" s="17">
        <f>+I186-Q186-Y186</f>
        <v>0</v>
      </c>
      <c r="AC186" s="33">
        <f>+E186+G186+-K186-M186-S186-U186-W186-O186</f>
        <v>0</v>
      </c>
    </row>
    <row r="187" spans="1:29">
      <c r="A187" s="34"/>
      <c r="B187" s="34"/>
      <c r="C187" s="34"/>
      <c r="D187" s="34"/>
      <c r="K187" s="17">
        <f>+Q187-M187-O187</f>
        <v>0</v>
      </c>
      <c r="U187" s="17">
        <f>Y187-W187-S187</f>
        <v>0</v>
      </c>
      <c r="AA187" s="17">
        <f t="shared" si="23"/>
        <v>0</v>
      </c>
      <c r="AC187" s="33">
        <f t="shared" si="24"/>
        <v>0</v>
      </c>
    </row>
    <row r="188" spans="1:29">
      <c r="A188" s="30"/>
      <c r="B188" s="30"/>
      <c r="C188" s="30"/>
      <c r="D188" s="30"/>
      <c r="K188" s="17">
        <f t="shared" ref="K188:K251" si="25">+Q188-M188-O188</f>
        <v>0</v>
      </c>
      <c r="U188" s="17">
        <f t="shared" ref="U188:U254" si="26">Y188-W188-S188</f>
        <v>0</v>
      </c>
      <c r="AA188" s="17">
        <f t="shared" si="23"/>
        <v>0</v>
      </c>
      <c r="AC188" s="33">
        <f t="shared" si="24"/>
        <v>0</v>
      </c>
    </row>
    <row r="190" spans="1:29" s="33" customFormat="1"/>
    <row r="191" spans="1:29" s="33" customFormat="1">
      <c r="A191" s="31"/>
      <c r="B191" s="31"/>
      <c r="C191" s="31"/>
      <c r="D191" s="31"/>
      <c r="K191" s="33">
        <f>+Q191-M191-O191</f>
        <v>0</v>
      </c>
      <c r="U191" s="33">
        <f>Y191-W191-S191</f>
        <v>0</v>
      </c>
      <c r="AA191" s="33">
        <f>+I191-Q191-Y191</f>
        <v>0</v>
      </c>
      <c r="AC191" s="33">
        <f>+E191+G191+-K191-M191-S191-U191-W191-O191</f>
        <v>0</v>
      </c>
    </row>
    <row r="192" spans="1:29">
      <c r="A192" s="34"/>
      <c r="B192" s="34"/>
      <c r="C192" s="34"/>
      <c r="D192" s="34"/>
      <c r="K192" s="17">
        <f>+Q192-M192-O192</f>
        <v>0</v>
      </c>
      <c r="U192" s="17">
        <f>Y192-W192-S192</f>
        <v>0</v>
      </c>
      <c r="AA192" s="17">
        <f>+I192-Q192-Y192</f>
        <v>0</v>
      </c>
      <c r="AC192" s="33">
        <f>+E192+G192+-K192-M192-S192-U192-W192-O192</f>
        <v>0</v>
      </c>
    </row>
    <row r="193" spans="1:29">
      <c r="A193" s="34"/>
      <c r="B193" s="34"/>
      <c r="C193" s="34"/>
      <c r="D193" s="34"/>
      <c r="K193" s="17">
        <f>+Q193-M193-O193</f>
        <v>0</v>
      </c>
      <c r="U193" s="17">
        <f>Y193-W193-S193</f>
        <v>0</v>
      </c>
      <c r="AA193" s="17">
        <f>+I193-Q193-Y193</f>
        <v>0</v>
      </c>
      <c r="AC193" s="33">
        <f>+E193+G193+-K193-M193-S193-U193-W193-O193</f>
        <v>0</v>
      </c>
    </row>
    <row r="194" spans="1:29">
      <c r="A194" s="34"/>
      <c r="B194" s="34"/>
      <c r="C194" s="34"/>
      <c r="D194" s="34"/>
      <c r="K194" s="17">
        <f>+Q194-M194-O194</f>
        <v>0</v>
      </c>
      <c r="U194" s="17">
        <f>Y194-W194-S194</f>
        <v>0</v>
      </c>
      <c r="AA194" s="17">
        <f>+I194-Q194-Y194</f>
        <v>0</v>
      </c>
      <c r="AC194" s="33">
        <f>+E194+G194+-K194-M194-S194-U194-W194-O194</f>
        <v>0</v>
      </c>
    </row>
    <row r="195" spans="1:29">
      <c r="A195" s="30"/>
      <c r="B195" s="30"/>
      <c r="C195" s="30"/>
      <c r="D195" s="30"/>
      <c r="K195" s="17">
        <f t="shared" si="25"/>
        <v>0</v>
      </c>
      <c r="U195" s="17">
        <f t="shared" si="26"/>
        <v>0</v>
      </c>
      <c r="AA195" s="17">
        <f t="shared" ref="AA195:AA258" si="27">+I195-Q195-Y195</f>
        <v>0</v>
      </c>
      <c r="AC195" s="17">
        <f t="shared" ref="AC195:AC258" si="28">+E195+G195+-K195-M195-S195-U195-W195-O195</f>
        <v>0</v>
      </c>
    </row>
    <row r="196" spans="1:29">
      <c r="A196" s="34"/>
      <c r="B196" s="34"/>
      <c r="C196" s="34"/>
      <c r="D196" s="34"/>
      <c r="K196" s="17">
        <f t="shared" si="25"/>
        <v>0</v>
      </c>
      <c r="U196" s="17">
        <f t="shared" si="26"/>
        <v>0</v>
      </c>
      <c r="AA196" s="17">
        <f t="shared" si="27"/>
        <v>0</v>
      </c>
      <c r="AC196" s="33">
        <f t="shared" si="28"/>
        <v>0</v>
      </c>
    </row>
    <row r="197" spans="1:29">
      <c r="A197" s="34"/>
      <c r="B197" s="34"/>
      <c r="C197" s="34"/>
      <c r="D197" s="34"/>
      <c r="K197" s="17">
        <f t="shared" si="25"/>
        <v>0</v>
      </c>
      <c r="U197" s="17">
        <f t="shared" si="26"/>
        <v>0</v>
      </c>
      <c r="AA197" s="17">
        <f t="shared" si="27"/>
        <v>0</v>
      </c>
      <c r="AC197" s="33">
        <f t="shared" si="28"/>
        <v>0</v>
      </c>
    </row>
    <row r="198" spans="1:29">
      <c r="A198" s="34"/>
      <c r="B198" s="34"/>
      <c r="C198" s="34"/>
      <c r="D198" s="34"/>
      <c r="K198" s="17">
        <f t="shared" si="25"/>
        <v>0</v>
      </c>
      <c r="U198" s="17">
        <f t="shared" si="26"/>
        <v>0</v>
      </c>
      <c r="AA198" s="17">
        <f t="shared" si="27"/>
        <v>0</v>
      </c>
      <c r="AC198" s="33">
        <f t="shared" si="28"/>
        <v>0</v>
      </c>
    </row>
    <row r="199" spans="1:29">
      <c r="A199" s="34"/>
      <c r="B199" s="34"/>
      <c r="C199" s="34"/>
      <c r="D199" s="34"/>
      <c r="K199" s="17">
        <f t="shared" si="25"/>
        <v>0</v>
      </c>
      <c r="U199" s="17">
        <f t="shared" si="26"/>
        <v>0</v>
      </c>
      <c r="AA199" s="17">
        <f t="shared" si="27"/>
        <v>0</v>
      </c>
      <c r="AC199" s="33">
        <f t="shared" si="28"/>
        <v>0</v>
      </c>
    </row>
    <row r="200" spans="1:29">
      <c r="A200" s="34"/>
      <c r="B200" s="34"/>
      <c r="C200" s="34"/>
      <c r="D200" s="34"/>
      <c r="K200" s="17">
        <f t="shared" si="25"/>
        <v>0</v>
      </c>
      <c r="U200" s="17">
        <f t="shared" si="26"/>
        <v>0</v>
      </c>
      <c r="AA200" s="17">
        <f t="shared" si="27"/>
        <v>0</v>
      </c>
      <c r="AC200" s="33">
        <f t="shared" si="28"/>
        <v>0</v>
      </c>
    </row>
    <row r="201" spans="1:29">
      <c r="A201" s="34"/>
      <c r="B201" s="34"/>
      <c r="C201" s="34"/>
      <c r="D201" s="34"/>
      <c r="K201" s="17">
        <f t="shared" si="25"/>
        <v>0</v>
      </c>
      <c r="U201" s="17">
        <f t="shared" si="26"/>
        <v>0</v>
      </c>
      <c r="AA201" s="17">
        <f>+I201-Q201-Y201</f>
        <v>0</v>
      </c>
      <c r="AC201" s="33">
        <f>+E201+G201+-K201-M201-S201-U201-W201-O201</f>
        <v>0</v>
      </c>
    </row>
    <row r="202" spans="1:29">
      <c r="A202" s="34"/>
      <c r="B202" s="34"/>
      <c r="C202" s="34"/>
      <c r="D202" s="34"/>
      <c r="K202" s="17">
        <f t="shared" si="25"/>
        <v>0</v>
      </c>
      <c r="U202" s="17">
        <f t="shared" si="26"/>
        <v>0</v>
      </c>
      <c r="AA202" s="17">
        <f>+I202-Q202-Y202</f>
        <v>0</v>
      </c>
      <c r="AC202" s="33">
        <f>+E202+G202+-K202-M202-S202-U202-W202-O202</f>
        <v>0</v>
      </c>
    </row>
    <row r="203" spans="1:29">
      <c r="A203" s="34"/>
      <c r="B203" s="34"/>
      <c r="C203" s="34"/>
      <c r="D203" s="34"/>
      <c r="K203" s="17">
        <f t="shared" si="25"/>
        <v>0</v>
      </c>
      <c r="U203" s="17">
        <f t="shared" si="26"/>
        <v>0</v>
      </c>
      <c r="AA203" s="17">
        <f t="shared" si="27"/>
        <v>0</v>
      </c>
      <c r="AC203" s="33">
        <f t="shared" si="28"/>
        <v>0</v>
      </c>
    </row>
    <row r="204" spans="1:29">
      <c r="A204" s="34"/>
      <c r="B204" s="34"/>
      <c r="C204" s="34"/>
      <c r="D204" s="34"/>
      <c r="K204" s="17">
        <f t="shared" si="25"/>
        <v>0</v>
      </c>
      <c r="U204" s="17">
        <f t="shared" si="26"/>
        <v>0</v>
      </c>
      <c r="AA204" s="17">
        <f t="shared" si="27"/>
        <v>0</v>
      </c>
      <c r="AC204" s="33">
        <f t="shared" si="28"/>
        <v>0</v>
      </c>
    </row>
    <row r="205" spans="1:29">
      <c r="A205" s="34"/>
      <c r="B205" s="34"/>
      <c r="C205" s="34"/>
      <c r="D205" s="34"/>
      <c r="K205" s="17">
        <f t="shared" si="25"/>
        <v>0</v>
      </c>
      <c r="U205" s="17">
        <f t="shared" si="26"/>
        <v>0</v>
      </c>
      <c r="AA205" s="17">
        <f t="shared" si="27"/>
        <v>0</v>
      </c>
      <c r="AC205" s="33">
        <f t="shared" si="28"/>
        <v>0</v>
      </c>
    </row>
    <row r="206" spans="1:29">
      <c r="A206" s="34"/>
      <c r="B206" s="34"/>
      <c r="C206" s="34"/>
      <c r="D206" s="34"/>
      <c r="K206" s="17">
        <f t="shared" si="25"/>
        <v>0</v>
      </c>
      <c r="U206" s="17">
        <f t="shared" si="26"/>
        <v>0</v>
      </c>
      <c r="AA206" s="17">
        <f t="shared" si="27"/>
        <v>0</v>
      </c>
      <c r="AC206" s="33">
        <f t="shared" si="28"/>
        <v>0</v>
      </c>
    </row>
    <row r="207" spans="1:29">
      <c r="A207" s="34"/>
      <c r="B207" s="34"/>
      <c r="C207" s="34"/>
      <c r="D207" s="34"/>
      <c r="K207" s="17">
        <f>+Q207-M207-O207</f>
        <v>0</v>
      </c>
      <c r="U207" s="17">
        <f>Y207-W207-S207</f>
        <v>0</v>
      </c>
      <c r="AA207" s="17">
        <f>+I207-Q207-Y207</f>
        <v>0</v>
      </c>
      <c r="AC207" s="33">
        <f>+E207+G207+-K207-M207-S207-U207-W207-O207</f>
        <v>0</v>
      </c>
    </row>
    <row r="208" spans="1:29">
      <c r="A208" s="34"/>
      <c r="B208" s="34"/>
      <c r="C208" s="34"/>
      <c r="D208" s="34"/>
      <c r="K208" s="17">
        <f t="shared" si="25"/>
        <v>0</v>
      </c>
      <c r="U208" s="17">
        <f t="shared" si="26"/>
        <v>0</v>
      </c>
      <c r="AA208" s="17">
        <f t="shared" si="27"/>
        <v>0</v>
      </c>
      <c r="AC208" s="33">
        <f t="shared" si="28"/>
        <v>0</v>
      </c>
    </row>
    <row r="209" spans="1:29">
      <c r="A209" s="34"/>
      <c r="B209" s="34"/>
      <c r="C209" s="34"/>
      <c r="D209" s="34"/>
      <c r="K209" s="17">
        <f t="shared" si="25"/>
        <v>0</v>
      </c>
      <c r="U209" s="17">
        <f t="shared" si="26"/>
        <v>0</v>
      </c>
      <c r="AA209" s="17">
        <f t="shared" si="27"/>
        <v>0</v>
      </c>
      <c r="AC209" s="33">
        <f t="shared" si="28"/>
        <v>0</v>
      </c>
    </row>
    <row r="210" spans="1:29">
      <c r="A210" s="34"/>
      <c r="B210" s="34"/>
      <c r="C210" s="34"/>
      <c r="D210" s="34"/>
      <c r="K210" s="17">
        <f t="shared" si="25"/>
        <v>0</v>
      </c>
      <c r="U210" s="17">
        <f t="shared" si="26"/>
        <v>0</v>
      </c>
      <c r="AA210" s="17">
        <f t="shared" si="27"/>
        <v>0</v>
      </c>
      <c r="AC210" s="33">
        <f t="shared" si="28"/>
        <v>0</v>
      </c>
    </row>
    <row r="211" spans="1:29">
      <c r="A211" s="34"/>
      <c r="B211" s="34"/>
      <c r="C211" s="34"/>
      <c r="D211" s="34"/>
      <c r="K211" s="17">
        <f t="shared" si="25"/>
        <v>0</v>
      </c>
      <c r="U211" s="17">
        <f t="shared" si="26"/>
        <v>0</v>
      </c>
      <c r="AA211" s="17">
        <f t="shared" si="27"/>
        <v>0</v>
      </c>
      <c r="AC211" s="33">
        <f t="shared" si="28"/>
        <v>0</v>
      </c>
    </row>
    <row r="212" spans="1:29">
      <c r="A212" s="34"/>
      <c r="B212" s="34"/>
      <c r="C212" s="34"/>
      <c r="D212" s="34"/>
      <c r="K212" s="17">
        <f t="shared" si="25"/>
        <v>0</v>
      </c>
      <c r="U212" s="17">
        <f t="shared" si="26"/>
        <v>0</v>
      </c>
      <c r="AA212" s="17">
        <f t="shared" si="27"/>
        <v>0</v>
      </c>
      <c r="AC212" s="33">
        <f t="shared" si="28"/>
        <v>0</v>
      </c>
    </row>
    <row r="213" spans="1:29">
      <c r="A213" s="34"/>
      <c r="B213" s="34"/>
      <c r="C213" s="34"/>
      <c r="D213" s="34"/>
      <c r="K213" s="17">
        <f t="shared" si="25"/>
        <v>0</v>
      </c>
      <c r="U213" s="17">
        <f t="shared" si="26"/>
        <v>0</v>
      </c>
      <c r="AA213" s="17">
        <f t="shared" si="27"/>
        <v>0</v>
      </c>
      <c r="AC213" s="33">
        <f t="shared" si="28"/>
        <v>0</v>
      </c>
    </row>
    <row r="214" spans="1:29">
      <c r="A214" s="34"/>
      <c r="B214" s="34"/>
      <c r="C214" s="34"/>
      <c r="D214" s="34"/>
      <c r="K214" s="17">
        <f t="shared" si="25"/>
        <v>0</v>
      </c>
      <c r="U214" s="17">
        <f t="shared" si="26"/>
        <v>0</v>
      </c>
      <c r="AA214" s="17">
        <f t="shared" si="27"/>
        <v>0</v>
      </c>
      <c r="AC214" s="33">
        <f t="shared" si="28"/>
        <v>0</v>
      </c>
    </row>
    <row r="215" spans="1:29">
      <c r="A215" s="34"/>
      <c r="B215" s="34"/>
      <c r="C215" s="34"/>
      <c r="D215" s="34"/>
      <c r="K215" s="17">
        <f t="shared" si="25"/>
        <v>0</v>
      </c>
      <c r="U215" s="17">
        <f t="shared" si="26"/>
        <v>0</v>
      </c>
      <c r="AA215" s="17">
        <f t="shared" si="27"/>
        <v>0</v>
      </c>
      <c r="AC215" s="33">
        <f t="shared" si="28"/>
        <v>0</v>
      </c>
    </row>
    <row r="216" spans="1:29">
      <c r="A216" s="34"/>
      <c r="B216" s="34"/>
      <c r="C216" s="34"/>
      <c r="D216" s="34"/>
      <c r="K216" s="17">
        <f t="shared" si="25"/>
        <v>0</v>
      </c>
      <c r="U216" s="17">
        <f t="shared" si="26"/>
        <v>0</v>
      </c>
      <c r="AA216" s="17">
        <f t="shared" si="27"/>
        <v>0</v>
      </c>
      <c r="AC216" s="33">
        <f t="shared" si="28"/>
        <v>0</v>
      </c>
    </row>
    <row r="217" spans="1:29">
      <c r="A217" s="34"/>
      <c r="B217" s="34"/>
      <c r="C217" s="34"/>
      <c r="D217" s="34"/>
      <c r="K217" s="17">
        <f t="shared" si="25"/>
        <v>0</v>
      </c>
      <c r="U217" s="17">
        <f t="shared" si="26"/>
        <v>0</v>
      </c>
      <c r="AA217" s="17">
        <f t="shared" si="27"/>
        <v>0</v>
      </c>
      <c r="AC217" s="33">
        <f t="shared" si="28"/>
        <v>0</v>
      </c>
    </row>
    <row r="218" spans="1:29">
      <c r="A218" s="34"/>
      <c r="B218" s="34"/>
      <c r="C218" s="34"/>
      <c r="D218" s="34"/>
      <c r="K218" s="17">
        <f t="shared" si="25"/>
        <v>0</v>
      </c>
      <c r="U218" s="17">
        <f t="shared" si="26"/>
        <v>0</v>
      </c>
      <c r="AA218" s="17">
        <f t="shared" si="27"/>
        <v>0</v>
      </c>
      <c r="AC218" s="33">
        <f t="shared" si="28"/>
        <v>0</v>
      </c>
    </row>
    <row r="219" spans="1:29">
      <c r="A219" s="34"/>
      <c r="B219" s="34"/>
      <c r="C219" s="34"/>
      <c r="D219" s="34"/>
      <c r="K219" s="17">
        <f t="shared" si="25"/>
        <v>0</v>
      </c>
      <c r="U219" s="17">
        <f t="shared" si="26"/>
        <v>0</v>
      </c>
      <c r="AA219" s="17">
        <f t="shared" si="27"/>
        <v>0</v>
      </c>
      <c r="AC219" s="33">
        <f t="shared" si="28"/>
        <v>0</v>
      </c>
    </row>
    <row r="220" spans="1:29">
      <c r="A220" s="34"/>
      <c r="B220" s="34"/>
      <c r="C220" s="34"/>
      <c r="D220" s="34"/>
      <c r="K220" s="17">
        <f t="shared" si="25"/>
        <v>0</v>
      </c>
      <c r="U220" s="17">
        <f t="shared" si="26"/>
        <v>0</v>
      </c>
      <c r="AA220" s="17">
        <f>+I220-Q220-Y220</f>
        <v>0</v>
      </c>
      <c r="AC220" s="33">
        <f t="shared" si="28"/>
        <v>0</v>
      </c>
    </row>
    <row r="221" spans="1:29">
      <c r="A221" s="34"/>
      <c r="B221" s="34"/>
      <c r="C221" s="34"/>
      <c r="D221" s="34"/>
      <c r="K221" s="17">
        <f t="shared" si="25"/>
        <v>0</v>
      </c>
      <c r="U221" s="17">
        <f t="shared" si="26"/>
        <v>0</v>
      </c>
      <c r="AA221" s="17">
        <f t="shared" si="27"/>
        <v>0</v>
      </c>
      <c r="AC221" s="33">
        <f t="shared" si="28"/>
        <v>0</v>
      </c>
    </row>
    <row r="222" spans="1:29">
      <c r="A222" s="34"/>
      <c r="B222" s="34"/>
      <c r="C222" s="34"/>
      <c r="D222" s="34"/>
      <c r="K222" s="17">
        <f t="shared" si="25"/>
        <v>0</v>
      </c>
      <c r="U222" s="17">
        <f t="shared" si="26"/>
        <v>0</v>
      </c>
      <c r="AA222" s="17">
        <f t="shared" si="27"/>
        <v>0</v>
      </c>
      <c r="AC222" s="33">
        <f t="shared" si="28"/>
        <v>0</v>
      </c>
    </row>
    <row r="223" spans="1:29">
      <c r="A223" s="34"/>
      <c r="B223" s="34"/>
      <c r="C223" s="34"/>
      <c r="D223" s="34"/>
      <c r="K223" s="17">
        <f t="shared" si="25"/>
        <v>0</v>
      </c>
      <c r="U223" s="17">
        <f t="shared" si="26"/>
        <v>0</v>
      </c>
      <c r="AA223" s="17">
        <f t="shared" si="27"/>
        <v>0</v>
      </c>
      <c r="AC223" s="33">
        <f t="shared" si="28"/>
        <v>0</v>
      </c>
    </row>
    <row r="224" spans="1:29">
      <c r="A224" s="34"/>
      <c r="B224" s="34"/>
      <c r="C224" s="34"/>
      <c r="D224" s="34"/>
      <c r="K224" s="17">
        <f t="shared" si="25"/>
        <v>0</v>
      </c>
      <c r="U224" s="17">
        <f t="shared" si="26"/>
        <v>0</v>
      </c>
      <c r="AA224" s="17">
        <f t="shared" si="27"/>
        <v>0</v>
      </c>
      <c r="AC224" s="33">
        <f t="shared" si="28"/>
        <v>0</v>
      </c>
    </row>
    <row r="225" spans="1:29">
      <c r="A225" s="34"/>
      <c r="B225" s="34"/>
      <c r="C225" s="34"/>
      <c r="D225" s="34"/>
      <c r="K225" s="17">
        <f t="shared" si="25"/>
        <v>0</v>
      </c>
      <c r="U225" s="17">
        <f t="shared" si="26"/>
        <v>0</v>
      </c>
      <c r="AA225" s="17">
        <f t="shared" si="27"/>
        <v>0</v>
      </c>
      <c r="AC225" s="33">
        <f t="shared" si="28"/>
        <v>0</v>
      </c>
    </row>
    <row r="226" spans="1:29">
      <c r="A226" s="34"/>
      <c r="B226" s="34"/>
      <c r="C226" s="34"/>
      <c r="D226" s="34"/>
      <c r="K226" s="17">
        <f t="shared" si="25"/>
        <v>0</v>
      </c>
      <c r="U226" s="17">
        <f t="shared" si="26"/>
        <v>0</v>
      </c>
      <c r="AA226" s="17">
        <f t="shared" si="27"/>
        <v>0</v>
      </c>
      <c r="AC226" s="33">
        <f t="shared" si="28"/>
        <v>0</v>
      </c>
    </row>
    <row r="227" spans="1:29">
      <c r="A227" s="34"/>
      <c r="B227" s="34"/>
      <c r="C227" s="34"/>
      <c r="D227" s="34"/>
      <c r="K227" s="17">
        <f>+Q227-M227-O227</f>
        <v>0</v>
      </c>
      <c r="U227" s="17">
        <f>Y227-W227-S227</f>
        <v>0</v>
      </c>
      <c r="AA227" s="17">
        <f t="shared" si="27"/>
        <v>0</v>
      </c>
      <c r="AC227" s="33">
        <f t="shared" si="28"/>
        <v>0</v>
      </c>
    </row>
    <row r="228" spans="1:29">
      <c r="A228" s="34"/>
      <c r="B228" s="34"/>
      <c r="C228" s="34"/>
      <c r="D228" s="34"/>
      <c r="K228" s="17">
        <f t="shared" si="25"/>
        <v>0</v>
      </c>
      <c r="U228" s="17">
        <f t="shared" si="26"/>
        <v>0</v>
      </c>
      <c r="AA228" s="17">
        <f t="shared" si="27"/>
        <v>0</v>
      </c>
      <c r="AC228" s="33">
        <f t="shared" si="28"/>
        <v>0</v>
      </c>
    </row>
    <row r="229" spans="1:29">
      <c r="A229" s="30"/>
      <c r="B229" s="30"/>
      <c r="C229" s="30"/>
      <c r="D229" s="30"/>
      <c r="K229" s="17">
        <f t="shared" si="25"/>
        <v>0</v>
      </c>
      <c r="U229" s="17">
        <f t="shared" si="26"/>
        <v>0</v>
      </c>
      <c r="AA229" s="17">
        <f t="shared" si="27"/>
        <v>0</v>
      </c>
      <c r="AC229" s="17">
        <f t="shared" si="28"/>
        <v>0</v>
      </c>
    </row>
    <row r="230" spans="1:29">
      <c r="A230" s="34"/>
      <c r="B230" s="34"/>
      <c r="C230" s="34"/>
      <c r="D230" s="34"/>
      <c r="K230" s="17">
        <f t="shared" si="25"/>
        <v>0</v>
      </c>
      <c r="U230" s="17">
        <f t="shared" si="26"/>
        <v>0</v>
      </c>
      <c r="AA230" s="17">
        <f t="shared" si="27"/>
        <v>0</v>
      </c>
      <c r="AC230" s="33">
        <f t="shared" si="28"/>
        <v>0</v>
      </c>
    </row>
    <row r="231" spans="1:29">
      <c r="A231" s="34"/>
      <c r="B231" s="34"/>
      <c r="C231" s="34"/>
      <c r="D231" s="34"/>
      <c r="K231" s="17">
        <f t="shared" si="25"/>
        <v>0</v>
      </c>
      <c r="U231" s="17">
        <f t="shared" si="26"/>
        <v>0</v>
      </c>
      <c r="AA231" s="17">
        <f t="shared" si="27"/>
        <v>0</v>
      </c>
      <c r="AC231" s="33">
        <f t="shared" si="28"/>
        <v>0</v>
      </c>
    </row>
    <row r="232" spans="1:29">
      <c r="A232" s="34"/>
      <c r="B232" s="34"/>
      <c r="C232" s="34"/>
      <c r="D232" s="34"/>
      <c r="K232" s="17">
        <f t="shared" si="25"/>
        <v>0</v>
      </c>
      <c r="U232" s="17">
        <f t="shared" si="26"/>
        <v>0</v>
      </c>
      <c r="AA232" s="17">
        <f t="shared" si="27"/>
        <v>0</v>
      </c>
      <c r="AC232" s="33">
        <f t="shared" si="28"/>
        <v>0</v>
      </c>
    </row>
    <row r="233" spans="1:29">
      <c r="A233" s="34"/>
      <c r="B233" s="34"/>
      <c r="C233" s="34"/>
      <c r="D233" s="34"/>
      <c r="K233" s="17">
        <f t="shared" si="25"/>
        <v>0</v>
      </c>
      <c r="U233" s="17">
        <f t="shared" si="26"/>
        <v>0</v>
      </c>
      <c r="AA233" s="17">
        <f t="shared" si="27"/>
        <v>0</v>
      </c>
      <c r="AC233" s="33">
        <f t="shared" si="28"/>
        <v>0</v>
      </c>
    </row>
    <row r="234" spans="1:29">
      <c r="A234" s="34"/>
      <c r="B234" s="34"/>
      <c r="C234" s="34"/>
      <c r="D234" s="34"/>
      <c r="K234" s="17">
        <f t="shared" si="25"/>
        <v>0</v>
      </c>
      <c r="U234" s="17">
        <f t="shared" si="26"/>
        <v>0</v>
      </c>
      <c r="AA234" s="17">
        <f t="shared" si="27"/>
        <v>0</v>
      </c>
      <c r="AC234" s="33">
        <f t="shared" si="28"/>
        <v>0</v>
      </c>
    </row>
    <row r="235" spans="1:29">
      <c r="A235" s="34"/>
      <c r="B235" s="34"/>
      <c r="C235" s="34"/>
      <c r="D235" s="34"/>
      <c r="K235" s="17">
        <f t="shared" si="25"/>
        <v>0</v>
      </c>
      <c r="U235" s="17">
        <f t="shared" si="26"/>
        <v>0</v>
      </c>
      <c r="AA235" s="17">
        <f t="shared" si="27"/>
        <v>0</v>
      </c>
      <c r="AC235" s="33">
        <f t="shared" si="28"/>
        <v>0</v>
      </c>
    </row>
    <row r="236" spans="1:29">
      <c r="A236" s="34"/>
      <c r="B236" s="34"/>
      <c r="C236" s="34"/>
      <c r="D236" s="34"/>
      <c r="K236" s="17">
        <f t="shared" si="25"/>
        <v>0</v>
      </c>
      <c r="U236" s="17">
        <f t="shared" si="26"/>
        <v>0</v>
      </c>
      <c r="AA236" s="17">
        <f t="shared" si="27"/>
        <v>0</v>
      </c>
      <c r="AC236" s="33">
        <f t="shared" si="28"/>
        <v>0</v>
      </c>
    </row>
    <row r="237" spans="1:29">
      <c r="A237" s="34"/>
      <c r="B237" s="34"/>
      <c r="C237" s="34"/>
      <c r="D237" s="34"/>
      <c r="K237" s="17">
        <f t="shared" si="25"/>
        <v>0</v>
      </c>
      <c r="U237" s="17">
        <f t="shared" si="26"/>
        <v>0</v>
      </c>
      <c r="AA237" s="17">
        <f t="shared" si="27"/>
        <v>0</v>
      </c>
      <c r="AC237" s="33">
        <f t="shared" si="28"/>
        <v>0</v>
      </c>
    </row>
    <row r="238" spans="1:29">
      <c r="A238" s="34"/>
      <c r="B238" s="34"/>
      <c r="C238" s="34"/>
      <c r="D238" s="34"/>
      <c r="K238" s="17">
        <f t="shared" si="25"/>
        <v>0</v>
      </c>
      <c r="U238" s="17">
        <f t="shared" si="26"/>
        <v>0</v>
      </c>
      <c r="AA238" s="17">
        <f t="shared" si="27"/>
        <v>0</v>
      </c>
      <c r="AC238" s="33">
        <f t="shared" si="28"/>
        <v>0</v>
      </c>
    </row>
    <row r="239" spans="1:29">
      <c r="A239" s="34"/>
      <c r="B239" s="34"/>
      <c r="C239" s="34"/>
      <c r="D239" s="34"/>
      <c r="K239" s="17">
        <f t="shared" si="25"/>
        <v>0</v>
      </c>
      <c r="U239" s="17">
        <f t="shared" si="26"/>
        <v>0</v>
      </c>
      <c r="AA239" s="17">
        <f t="shared" si="27"/>
        <v>0</v>
      </c>
      <c r="AC239" s="33">
        <f t="shared" si="28"/>
        <v>0</v>
      </c>
    </row>
    <row r="240" spans="1:29">
      <c r="A240" s="34"/>
      <c r="B240" s="34"/>
      <c r="C240" s="34"/>
      <c r="D240" s="34"/>
      <c r="K240" s="17">
        <f t="shared" si="25"/>
        <v>0</v>
      </c>
      <c r="U240" s="17">
        <f t="shared" si="26"/>
        <v>0</v>
      </c>
      <c r="AA240" s="17">
        <f t="shared" si="27"/>
        <v>0</v>
      </c>
      <c r="AC240" s="33">
        <f t="shared" si="28"/>
        <v>0</v>
      </c>
    </row>
    <row r="241" spans="1:29">
      <c r="A241" s="34"/>
      <c r="B241" s="34"/>
      <c r="C241" s="34"/>
      <c r="D241" s="34"/>
      <c r="K241" s="17">
        <f t="shared" si="25"/>
        <v>0</v>
      </c>
      <c r="U241" s="17">
        <f t="shared" si="26"/>
        <v>0</v>
      </c>
      <c r="AA241" s="17">
        <f t="shared" si="27"/>
        <v>0</v>
      </c>
      <c r="AC241" s="33">
        <f t="shared" si="28"/>
        <v>0</v>
      </c>
    </row>
    <row r="242" spans="1:29">
      <c r="A242" s="34"/>
      <c r="B242" s="34"/>
      <c r="C242" s="34"/>
      <c r="D242" s="34"/>
      <c r="K242" s="17">
        <f t="shared" si="25"/>
        <v>0</v>
      </c>
      <c r="U242" s="17">
        <f t="shared" si="26"/>
        <v>0</v>
      </c>
      <c r="AA242" s="17">
        <f t="shared" si="27"/>
        <v>0</v>
      </c>
      <c r="AC242" s="33">
        <f t="shared" si="28"/>
        <v>0</v>
      </c>
    </row>
    <row r="243" spans="1:29">
      <c r="A243" s="34"/>
      <c r="B243" s="34"/>
      <c r="C243" s="34"/>
      <c r="D243" s="34"/>
      <c r="K243" s="17">
        <f t="shared" si="25"/>
        <v>0</v>
      </c>
      <c r="U243" s="17">
        <f t="shared" si="26"/>
        <v>0</v>
      </c>
      <c r="AA243" s="17">
        <f t="shared" si="27"/>
        <v>0</v>
      </c>
      <c r="AC243" s="33">
        <f t="shared" si="28"/>
        <v>0</v>
      </c>
    </row>
    <row r="244" spans="1:29">
      <c r="A244" s="34"/>
      <c r="B244" s="34"/>
      <c r="C244" s="34"/>
      <c r="D244" s="34"/>
      <c r="K244" s="17">
        <f t="shared" si="25"/>
        <v>0</v>
      </c>
      <c r="U244" s="17">
        <f t="shared" si="26"/>
        <v>0</v>
      </c>
      <c r="AA244" s="17">
        <f t="shared" si="27"/>
        <v>0</v>
      </c>
      <c r="AC244" s="33">
        <f t="shared" si="28"/>
        <v>0</v>
      </c>
    </row>
    <row r="245" spans="1:29">
      <c r="A245" s="34"/>
      <c r="B245" s="34"/>
      <c r="C245" s="34"/>
      <c r="D245" s="34"/>
      <c r="K245" s="17">
        <f t="shared" si="25"/>
        <v>0</v>
      </c>
      <c r="U245" s="17">
        <f t="shared" si="26"/>
        <v>0</v>
      </c>
      <c r="AA245" s="17">
        <f t="shared" si="27"/>
        <v>0</v>
      </c>
      <c r="AC245" s="33">
        <f t="shared" si="28"/>
        <v>0</v>
      </c>
    </row>
    <row r="246" spans="1:29">
      <c r="A246" s="34"/>
      <c r="B246" s="34"/>
      <c r="C246" s="34"/>
      <c r="D246" s="34"/>
      <c r="K246" s="17">
        <f t="shared" si="25"/>
        <v>0</v>
      </c>
      <c r="U246" s="17">
        <f t="shared" si="26"/>
        <v>0</v>
      </c>
      <c r="AA246" s="17">
        <f t="shared" si="27"/>
        <v>0</v>
      </c>
      <c r="AC246" s="33">
        <f t="shared" si="28"/>
        <v>0</v>
      </c>
    </row>
    <row r="247" spans="1:29">
      <c r="A247" s="34"/>
      <c r="B247" s="34"/>
      <c r="C247" s="34"/>
      <c r="D247" s="34"/>
      <c r="K247" s="17">
        <v>0</v>
      </c>
      <c r="U247" s="17">
        <f t="shared" si="26"/>
        <v>0</v>
      </c>
      <c r="AA247" s="17">
        <f t="shared" si="27"/>
        <v>0</v>
      </c>
      <c r="AC247" s="33">
        <f t="shared" si="28"/>
        <v>0</v>
      </c>
    </row>
    <row r="248" spans="1:29">
      <c r="A248" s="34"/>
      <c r="B248" s="34"/>
      <c r="C248" s="34"/>
      <c r="D248" s="34"/>
      <c r="K248" s="17">
        <f t="shared" si="25"/>
        <v>0</v>
      </c>
      <c r="U248" s="17">
        <f t="shared" si="26"/>
        <v>0</v>
      </c>
      <c r="AA248" s="17">
        <f t="shared" si="27"/>
        <v>0</v>
      </c>
      <c r="AC248" s="33">
        <f t="shared" si="28"/>
        <v>0</v>
      </c>
    </row>
    <row r="249" spans="1:29">
      <c r="A249" s="34"/>
      <c r="B249" s="34"/>
      <c r="C249" s="34"/>
      <c r="D249" s="34"/>
      <c r="K249" s="17">
        <f t="shared" si="25"/>
        <v>0</v>
      </c>
      <c r="U249" s="17">
        <f t="shared" si="26"/>
        <v>0</v>
      </c>
      <c r="AA249" s="17">
        <f t="shared" si="27"/>
        <v>0</v>
      </c>
      <c r="AC249" s="33">
        <f t="shared" si="28"/>
        <v>0</v>
      </c>
    </row>
    <row r="250" spans="1:29">
      <c r="A250" s="34"/>
      <c r="B250" s="34"/>
      <c r="C250" s="34"/>
      <c r="D250" s="34"/>
      <c r="K250" s="17">
        <f t="shared" si="25"/>
        <v>0</v>
      </c>
      <c r="U250" s="17">
        <f t="shared" si="26"/>
        <v>0</v>
      </c>
      <c r="AA250" s="17">
        <f t="shared" si="27"/>
        <v>0</v>
      </c>
      <c r="AC250" s="33">
        <f t="shared" si="28"/>
        <v>0</v>
      </c>
    </row>
    <row r="251" spans="1:29">
      <c r="A251" s="34"/>
      <c r="B251" s="34"/>
      <c r="C251" s="34"/>
      <c r="D251" s="34"/>
      <c r="K251" s="17">
        <f t="shared" si="25"/>
        <v>0</v>
      </c>
      <c r="U251" s="17">
        <f t="shared" si="26"/>
        <v>0</v>
      </c>
      <c r="AA251" s="17">
        <f t="shared" si="27"/>
        <v>0</v>
      </c>
      <c r="AC251" s="33">
        <f t="shared" si="28"/>
        <v>0</v>
      </c>
    </row>
    <row r="252" spans="1:29">
      <c r="A252" s="34"/>
      <c r="B252" s="34"/>
      <c r="C252" s="34"/>
      <c r="D252" s="34"/>
      <c r="K252" s="17">
        <f t="shared" ref="K252:K258" si="29">+Q252-M252-O252</f>
        <v>0</v>
      </c>
      <c r="U252" s="17">
        <f t="shared" si="26"/>
        <v>0</v>
      </c>
      <c r="AA252" s="17">
        <f t="shared" si="27"/>
        <v>0</v>
      </c>
      <c r="AC252" s="33">
        <f t="shared" si="28"/>
        <v>0</v>
      </c>
    </row>
    <row r="253" spans="1:29">
      <c r="A253" s="34"/>
      <c r="B253" s="34"/>
      <c r="C253" s="34"/>
      <c r="D253" s="34"/>
      <c r="K253" s="17">
        <f t="shared" si="29"/>
        <v>0</v>
      </c>
      <c r="U253" s="17">
        <f t="shared" si="26"/>
        <v>0</v>
      </c>
      <c r="AA253" s="17">
        <f t="shared" si="27"/>
        <v>0</v>
      </c>
      <c r="AC253" s="33">
        <f t="shared" si="28"/>
        <v>0</v>
      </c>
    </row>
    <row r="254" spans="1:29">
      <c r="A254" s="34"/>
      <c r="B254" s="34"/>
      <c r="C254" s="34"/>
      <c r="D254" s="34"/>
      <c r="K254" s="17">
        <f t="shared" si="29"/>
        <v>0</v>
      </c>
      <c r="U254" s="17">
        <f t="shared" si="26"/>
        <v>0</v>
      </c>
      <c r="AA254" s="17">
        <f t="shared" si="27"/>
        <v>0</v>
      </c>
      <c r="AC254" s="33">
        <f t="shared" si="28"/>
        <v>0</v>
      </c>
    </row>
    <row r="255" spans="1:29">
      <c r="A255" s="34"/>
      <c r="B255" s="34"/>
      <c r="C255" s="34"/>
      <c r="D255" s="34"/>
      <c r="K255" s="17">
        <f t="shared" si="29"/>
        <v>0</v>
      </c>
      <c r="U255" s="17">
        <f>Y255-W255-S255</f>
        <v>0</v>
      </c>
      <c r="AA255" s="17">
        <f t="shared" si="27"/>
        <v>0</v>
      </c>
      <c r="AC255" s="33">
        <f t="shared" si="28"/>
        <v>0</v>
      </c>
    </row>
    <row r="256" spans="1:29">
      <c r="A256" s="34"/>
      <c r="B256" s="34"/>
      <c r="C256" s="34"/>
      <c r="D256" s="34"/>
      <c r="K256" s="17">
        <f t="shared" si="29"/>
        <v>0</v>
      </c>
      <c r="U256" s="17">
        <f>Y256-W256-S256</f>
        <v>0</v>
      </c>
      <c r="AA256" s="17">
        <f t="shared" si="27"/>
        <v>0</v>
      </c>
      <c r="AC256" s="33">
        <f t="shared" si="28"/>
        <v>0</v>
      </c>
    </row>
    <row r="257" spans="1:29">
      <c r="A257" s="34"/>
      <c r="B257" s="34"/>
      <c r="C257" s="34"/>
      <c r="D257" s="34"/>
      <c r="K257" s="17">
        <f>+Q257-M257-O257</f>
        <v>0</v>
      </c>
      <c r="U257" s="17">
        <f>Y257-W257-S257</f>
        <v>0</v>
      </c>
      <c r="AA257" s="17">
        <f>+I257-Q257-Y257</f>
        <v>0</v>
      </c>
      <c r="AC257" s="33">
        <f>+E257+G257+-K257-M257-S257-U257-W257-O257</f>
        <v>0</v>
      </c>
    </row>
    <row r="258" spans="1:29">
      <c r="A258" s="34"/>
      <c r="B258" s="34"/>
      <c r="C258" s="34"/>
      <c r="D258" s="34"/>
      <c r="K258" s="17">
        <f t="shared" si="29"/>
        <v>0</v>
      </c>
      <c r="U258" s="17">
        <f>Y258-W258-S258</f>
        <v>0</v>
      </c>
      <c r="AA258" s="17">
        <f t="shared" si="27"/>
        <v>0</v>
      </c>
      <c r="AC258" s="33">
        <f t="shared" si="28"/>
        <v>0</v>
      </c>
    </row>
    <row r="261" spans="1:29">
      <c r="A261" s="34"/>
      <c r="B261" s="34"/>
      <c r="C261" s="34"/>
      <c r="D261" s="34"/>
      <c r="K261" s="17">
        <f t="shared" ref="K261:K324" si="30">+Q261-M261-O261</f>
        <v>0</v>
      </c>
      <c r="U261" s="17">
        <v>0</v>
      </c>
      <c r="AA261" s="17">
        <f t="shared" ref="AA261:AA324" si="31">+I261-Q261-Y261</f>
        <v>0</v>
      </c>
      <c r="AC261" s="33">
        <f t="shared" ref="AC261:AC324" si="32">+E261+G261+-K261-M261-S261-U261-W261-O261</f>
        <v>0</v>
      </c>
    </row>
    <row r="262" spans="1:29" s="33" customFormat="1">
      <c r="A262" s="31"/>
      <c r="B262" s="31"/>
      <c r="C262" s="31"/>
      <c r="D262" s="31"/>
      <c r="K262" s="33">
        <f>+Q262-M262-O262</f>
        <v>0</v>
      </c>
      <c r="U262" s="33">
        <f>Y262-W262-S262</f>
        <v>0</v>
      </c>
      <c r="AA262" s="33">
        <f>+I262-Q262-Y262</f>
        <v>0</v>
      </c>
      <c r="AC262" s="33">
        <f>+E262+G262+-K262-M262-S262-U262-W262-O262</f>
        <v>0</v>
      </c>
    </row>
    <row r="263" spans="1:29">
      <c r="A263" s="30"/>
      <c r="B263" s="30"/>
      <c r="C263" s="30"/>
      <c r="D263" s="30"/>
      <c r="K263" s="17">
        <f>+Q263-M263-O263</f>
        <v>0</v>
      </c>
      <c r="U263" s="17">
        <f>Y263-W263-S263</f>
        <v>0</v>
      </c>
      <c r="AA263" s="17">
        <f>+I263-Q263-Y263</f>
        <v>0</v>
      </c>
      <c r="AC263" s="17">
        <f>+E263+G263+-K263-M263-S263-U263-W263-O263</f>
        <v>0</v>
      </c>
    </row>
    <row r="264" spans="1:29">
      <c r="A264" s="34"/>
      <c r="B264" s="34"/>
      <c r="C264" s="34"/>
      <c r="D264" s="34"/>
      <c r="K264" s="17">
        <f>+Q264-M264-O264</f>
        <v>0</v>
      </c>
      <c r="U264" s="17">
        <f>Y264-W264-S264</f>
        <v>0</v>
      </c>
      <c r="AA264" s="17">
        <f>+I264-Q264-Y264</f>
        <v>0</v>
      </c>
      <c r="AC264" s="33">
        <f>+E264+G264+-K264-M264-S264-U264-W264-O264</f>
        <v>0</v>
      </c>
    </row>
    <row r="265" spans="1:29">
      <c r="A265" s="34"/>
      <c r="B265" s="34"/>
      <c r="C265" s="34"/>
      <c r="D265" s="34"/>
      <c r="K265" s="17">
        <f>+Q265-M265-O265</f>
        <v>0</v>
      </c>
      <c r="U265" s="17">
        <f>Y265-W265-S265</f>
        <v>0</v>
      </c>
      <c r="AA265" s="17">
        <f>+I265-Q265-Y265</f>
        <v>0</v>
      </c>
      <c r="AC265" s="33">
        <f>+E265+G265+-K265-M265-S265-U265-W265-O265</f>
        <v>0</v>
      </c>
    </row>
    <row r="266" spans="1:29">
      <c r="A266" s="30"/>
      <c r="B266" s="30"/>
      <c r="C266" s="30"/>
      <c r="D266" s="30"/>
      <c r="K266" s="17">
        <f t="shared" si="30"/>
        <v>0</v>
      </c>
      <c r="U266" s="17">
        <f t="shared" ref="U266:U326" si="33">Y266-W266-S266</f>
        <v>0</v>
      </c>
      <c r="AA266" s="17">
        <f t="shared" si="31"/>
        <v>0</v>
      </c>
      <c r="AC266" s="17">
        <f t="shared" si="32"/>
        <v>0</v>
      </c>
    </row>
    <row r="267" spans="1:29">
      <c r="A267" s="34"/>
      <c r="B267" s="34"/>
      <c r="C267" s="34"/>
      <c r="D267" s="34"/>
      <c r="K267" s="17">
        <f t="shared" si="30"/>
        <v>0</v>
      </c>
      <c r="U267" s="17">
        <f t="shared" si="33"/>
        <v>0</v>
      </c>
      <c r="AA267" s="17">
        <f t="shared" si="31"/>
        <v>0</v>
      </c>
      <c r="AC267" s="33">
        <f t="shared" si="32"/>
        <v>0</v>
      </c>
    </row>
    <row r="268" spans="1:29">
      <c r="A268" s="34"/>
      <c r="B268" s="34"/>
      <c r="C268" s="34"/>
      <c r="D268" s="34"/>
      <c r="K268" s="17">
        <f t="shared" si="30"/>
        <v>0</v>
      </c>
      <c r="U268" s="17">
        <f t="shared" si="33"/>
        <v>0</v>
      </c>
      <c r="AA268" s="17">
        <f t="shared" si="31"/>
        <v>0</v>
      </c>
      <c r="AC268" s="33">
        <f t="shared" si="32"/>
        <v>0</v>
      </c>
    </row>
    <row r="269" spans="1:29">
      <c r="A269" s="34"/>
      <c r="B269" s="34"/>
      <c r="C269" s="34"/>
      <c r="D269" s="34"/>
      <c r="K269" s="17">
        <f t="shared" si="30"/>
        <v>0</v>
      </c>
      <c r="U269" s="17">
        <f t="shared" si="33"/>
        <v>0</v>
      </c>
      <c r="AA269" s="17">
        <f t="shared" si="31"/>
        <v>0</v>
      </c>
      <c r="AC269" s="33">
        <f t="shared" si="32"/>
        <v>0</v>
      </c>
    </row>
    <row r="270" spans="1:29">
      <c r="A270" s="34"/>
      <c r="B270" s="34"/>
      <c r="C270" s="34"/>
      <c r="D270" s="34"/>
      <c r="K270" s="17">
        <f t="shared" si="30"/>
        <v>0</v>
      </c>
      <c r="U270" s="17">
        <f t="shared" si="33"/>
        <v>0</v>
      </c>
      <c r="AA270" s="17">
        <f t="shared" si="31"/>
        <v>0</v>
      </c>
      <c r="AC270" s="33">
        <f t="shared" si="32"/>
        <v>0</v>
      </c>
    </row>
    <row r="271" spans="1:29">
      <c r="A271" s="34"/>
      <c r="B271" s="34"/>
      <c r="C271" s="34"/>
      <c r="D271" s="34"/>
      <c r="K271" s="17">
        <f>+Q271-M271-O271</f>
        <v>0</v>
      </c>
      <c r="U271" s="17">
        <f t="shared" si="33"/>
        <v>0</v>
      </c>
      <c r="AA271" s="17">
        <f t="shared" si="31"/>
        <v>0</v>
      </c>
      <c r="AC271" s="33">
        <f t="shared" si="32"/>
        <v>0</v>
      </c>
    </row>
    <row r="272" spans="1:29">
      <c r="A272" s="34"/>
      <c r="B272" s="34"/>
      <c r="C272" s="34"/>
      <c r="D272" s="34"/>
      <c r="K272" s="17">
        <f t="shared" si="30"/>
        <v>0</v>
      </c>
      <c r="U272" s="17">
        <f t="shared" si="33"/>
        <v>0</v>
      </c>
      <c r="AA272" s="17">
        <f t="shared" si="31"/>
        <v>0</v>
      </c>
      <c r="AC272" s="33">
        <f t="shared" si="32"/>
        <v>0</v>
      </c>
    </row>
    <row r="273" spans="1:29">
      <c r="A273" s="34"/>
      <c r="B273" s="34"/>
      <c r="C273" s="34"/>
      <c r="D273" s="34"/>
      <c r="K273" s="17">
        <f t="shared" si="30"/>
        <v>0</v>
      </c>
      <c r="U273" s="17">
        <f t="shared" si="33"/>
        <v>0</v>
      </c>
      <c r="AA273" s="17">
        <f t="shared" si="31"/>
        <v>0</v>
      </c>
      <c r="AC273" s="33">
        <f t="shared" si="32"/>
        <v>0</v>
      </c>
    </row>
    <row r="274" spans="1:29">
      <c r="A274" s="34"/>
      <c r="B274" s="34"/>
      <c r="C274" s="34"/>
      <c r="D274" s="34"/>
      <c r="K274" s="17">
        <f t="shared" si="30"/>
        <v>0</v>
      </c>
      <c r="U274" s="17">
        <f t="shared" si="33"/>
        <v>0</v>
      </c>
      <c r="AA274" s="17">
        <f t="shared" si="31"/>
        <v>0</v>
      </c>
      <c r="AC274" s="33">
        <f t="shared" si="32"/>
        <v>0</v>
      </c>
    </row>
    <row r="275" spans="1:29">
      <c r="A275" s="34"/>
      <c r="B275" s="34"/>
      <c r="C275" s="34"/>
      <c r="D275" s="34"/>
      <c r="K275" s="17">
        <f t="shared" si="30"/>
        <v>0</v>
      </c>
      <c r="U275" s="17">
        <f t="shared" si="33"/>
        <v>0</v>
      </c>
      <c r="AA275" s="17">
        <f t="shared" si="31"/>
        <v>0</v>
      </c>
      <c r="AC275" s="33">
        <f t="shared" si="32"/>
        <v>0</v>
      </c>
    </row>
    <row r="276" spans="1:29">
      <c r="A276" s="34"/>
      <c r="B276" s="34"/>
      <c r="C276" s="34"/>
      <c r="D276" s="34"/>
      <c r="K276" s="17">
        <f t="shared" si="30"/>
        <v>0</v>
      </c>
      <c r="U276" s="17">
        <f t="shared" si="33"/>
        <v>0</v>
      </c>
      <c r="AA276" s="17">
        <f t="shared" si="31"/>
        <v>0</v>
      </c>
      <c r="AC276" s="33">
        <f t="shared" si="32"/>
        <v>0</v>
      </c>
    </row>
    <row r="277" spans="1:29">
      <c r="A277" s="34"/>
      <c r="B277" s="34"/>
      <c r="C277" s="34"/>
      <c r="D277" s="34"/>
      <c r="K277" s="17">
        <f t="shared" si="30"/>
        <v>0</v>
      </c>
      <c r="U277" s="17">
        <f t="shared" si="33"/>
        <v>0</v>
      </c>
      <c r="AA277" s="17">
        <f>+I277-Q277-Y277</f>
        <v>0</v>
      </c>
      <c r="AC277" s="33">
        <f t="shared" si="32"/>
        <v>0</v>
      </c>
    </row>
    <row r="278" spans="1:29">
      <c r="A278" s="34"/>
      <c r="B278" s="34"/>
      <c r="C278" s="34"/>
      <c r="D278" s="34"/>
      <c r="K278" s="17">
        <f t="shared" si="30"/>
        <v>0</v>
      </c>
      <c r="U278" s="17">
        <f t="shared" si="33"/>
        <v>0</v>
      </c>
      <c r="AA278" s="17">
        <f t="shared" si="31"/>
        <v>0</v>
      </c>
      <c r="AC278" s="33">
        <f t="shared" si="32"/>
        <v>0</v>
      </c>
    </row>
    <row r="279" spans="1:29">
      <c r="A279" s="34"/>
      <c r="B279" s="34"/>
      <c r="C279" s="34"/>
      <c r="D279" s="34"/>
      <c r="K279" s="17">
        <f t="shared" si="30"/>
        <v>0</v>
      </c>
      <c r="U279" s="17">
        <f t="shared" si="33"/>
        <v>0</v>
      </c>
      <c r="AA279" s="17">
        <f>+I279-Q279-Y279</f>
        <v>0</v>
      </c>
      <c r="AC279" s="33">
        <f t="shared" si="32"/>
        <v>0</v>
      </c>
    </row>
    <row r="280" spans="1:29">
      <c r="A280" s="34"/>
      <c r="B280" s="34"/>
      <c r="C280" s="34"/>
      <c r="D280" s="34"/>
      <c r="K280" s="17">
        <f t="shared" si="30"/>
        <v>0</v>
      </c>
      <c r="U280" s="17">
        <f t="shared" si="33"/>
        <v>0</v>
      </c>
      <c r="AA280" s="17">
        <f t="shared" si="31"/>
        <v>0</v>
      </c>
      <c r="AC280" s="33">
        <f t="shared" si="32"/>
        <v>0</v>
      </c>
    </row>
    <row r="281" spans="1:29">
      <c r="A281" s="34"/>
      <c r="B281" s="34"/>
      <c r="C281" s="34"/>
      <c r="D281" s="34"/>
      <c r="K281" s="17">
        <f t="shared" si="30"/>
        <v>0</v>
      </c>
      <c r="U281" s="17">
        <f t="shared" si="33"/>
        <v>0</v>
      </c>
      <c r="AA281" s="17">
        <f t="shared" si="31"/>
        <v>0</v>
      </c>
      <c r="AC281" s="33">
        <f t="shared" si="32"/>
        <v>0</v>
      </c>
    </row>
    <row r="282" spans="1:29">
      <c r="A282" s="34"/>
      <c r="B282" s="34"/>
      <c r="C282" s="34"/>
      <c r="D282" s="34"/>
      <c r="K282" s="17">
        <f t="shared" si="30"/>
        <v>0</v>
      </c>
      <c r="U282" s="17">
        <f t="shared" si="33"/>
        <v>0</v>
      </c>
      <c r="AA282" s="17">
        <f t="shared" si="31"/>
        <v>0</v>
      </c>
      <c r="AC282" s="33">
        <f t="shared" si="32"/>
        <v>0</v>
      </c>
    </row>
    <row r="283" spans="1:29">
      <c r="A283" s="34"/>
      <c r="B283" s="34"/>
      <c r="C283" s="34"/>
      <c r="D283" s="34"/>
      <c r="K283" s="17">
        <f t="shared" si="30"/>
        <v>0</v>
      </c>
      <c r="U283" s="17">
        <f t="shared" si="33"/>
        <v>0</v>
      </c>
      <c r="AA283" s="17">
        <f t="shared" si="31"/>
        <v>0</v>
      </c>
      <c r="AC283" s="33">
        <f t="shared" si="32"/>
        <v>0</v>
      </c>
    </row>
    <row r="284" spans="1:29">
      <c r="A284" s="34"/>
      <c r="B284" s="34"/>
      <c r="C284" s="34"/>
      <c r="D284" s="34"/>
      <c r="K284" s="17">
        <f t="shared" si="30"/>
        <v>0</v>
      </c>
      <c r="U284" s="17">
        <f t="shared" si="33"/>
        <v>0</v>
      </c>
      <c r="AA284" s="17">
        <f t="shared" si="31"/>
        <v>0</v>
      </c>
      <c r="AC284" s="33">
        <f t="shared" si="32"/>
        <v>0</v>
      </c>
    </row>
    <row r="285" spans="1:29">
      <c r="A285" s="34"/>
      <c r="B285" s="34"/>
      <c r="C285" s="34"/>
      <c r="D285" s="34"/>
      <c r="K285" s="17">
        <f t="shared" si="30"/>
        <v>0</v>
      </c>
      <c r="U285" s="17">
        <f t="shared" si="33"/>
        <v>0</v>
      </c>
      <c r="AA285" s="17">
        <f t="shared" si="31"/>
        <v>0</v>
      </c>
      <c r="AC285" s="33">
        <f t="shared" si="32"/>
        <v>0</v>
      </c>
    </row>
    <row r="286" spans="1:29">
      <c r="A286" s="34"/>
      <c r="B286" s="34"/>
      <c r="C286" s="34"/>
      <c r="D286" s="34"/>
      <c r="K286" s="17">
        <f t="shared" si="30"/>
        <v>0</v>
      </c>
      <c r="U286" s="17">
        <f t="shared" si="33"/>
        <v>0</v>
      </c>
      <c r="AA286" s="17">
        <f>+I286-Q286-Y286</f>
        <v>0</v>
      </c>
      <c r="AC286" s="33">
        <f t="shared" si="32"/>
        <v>0</v>
      </c>
    </row>
    <row r="287" spans="1:29">
      <c r="A287" s="34"/>
      <c r="B287" s="34"/>
      <c r="C287" s="34"/>
      <c r="D287" s="34"/>
      <c r="K287" s="17">
        <f t="shared" si="30"/>
        <v>0</v>
      </c>
      <c r="U287" s="17">
        <f t="shared" si="33"/>
        <v>0</v>
      </c>
      <c r="AA287" s="17">
        <f t="shared" si="31"/>
        <v>0</v>
      </c>
      <c r="AC287" s="33">
        <f t="shared" si="32"/>
        <v>0</v>
      </c>
    </row>
    <row r="288" spans="1:29">
      <c r="A288" s="34"/>
      <c r="B288" s="34"/>
      <c r="C288" s="34"/>
      <c r="D288" s="34"/>
      <c r="K288" s="17">
        <f t="shared" si="30"/>
        <v>0</v>
      </c>
      <c r="U288" s="17">
        <f t="shared" si="33"/>
        <v>0</v>
      </c>
      <c r="AA288" s="17">
        <f t="shared" si="31"/>
        <v>0</v>
      </c>
      <c r="AC288" s="33">
        <f t="shared" si="32"/>
        <v>0</v>
      </c>
    </row>
    <row r="289" spans="1:29">
      <c r="A289" s="34"/>
      <c r="B289" s="34"/>
      <c r="C289" s="34"/>
      <c r="D289" s="34"/>
      <c r="K289" s="17">
        <f t="shared" si="30"/>
        <v>0</v>
      </c>
      <c r="U289" s="17">
        <f t="shared" si="33"/>
        <v>0</v>
      </c>
      <c r="AA289" s="17">
        <f t="shared" si="31"/>
        <v>0</v>
      </c>
      <c r="AC289" s="33">
        <f t="shared" si="32"/>
        <v>0</v>
      </c>
    </row>
    <row r="290" spans="1:29">
      <c r="A290" s="34"/>
      <c r="B290" s="34"/>
      <c r="C290" s="34"/>
      <c r="D290" s="34"/>
      <c r="K290" s="17">
        <f t="shared" si="30"/>
        <v>0</v>
      </c>
      <c r="U290" s="17">
        <f t="shared" si="33"/>
        <v>0</v>
      </c>
      <c r="AA290" s="17">
        <f t="shared" si="31"/>
        <v>0</v>
      </c>
      <c r="AC290" s="33">
        <f t="shared" si="32"/>
        <v>0</v>
      </c>
    </row>
    <row r="291" spans="1:29">
      <c r="A291" s="34"/>
      <c r="B291" s="34"/>
      <c r="C291" s="34"/>
      <c r="D291" s="34"/>
      <c r="K291" s="17">
        <f t="shared" si="30"/>
        <v>0</v>
      </c>
      <c r="U291" s="17">
        <f t="shared" si="33"/>
        <v>0</v>
      </c>
      <c r="AA291" s="17">
        <f t="shared" si="31"/>
        <v>0</v>
      </c>
      <c r="AC291" s="33">
        <f t="shared" si="32"/>
        <v>0</v>
      </c>
    </row>
    <row r="292" spans="1:29">
      <c r="A292" s="34"/>
      <c r="B292" s="34"/>
      <c r="C292" s="34"/>
      <c r="D292" s="34"/>
      <c r="K292" s="17">
        <f t="shared" si="30"/>
        <v>0</v>
      </c>
      <c r="U292" s="17">
        <f t="shared" si="33"/>
        <v>0</v>
      </c>
      <c r="AA292" s="17">
        <f t="shared" si="31"/>
        <v>0</v>
      </c>
      <c r="AC292" s="33">
        <f t="shared" si="32"/>
        <v>0</v>
      </c>
    </row>
    <row r="293" spans="1:29">
      <c r="A293" s="34"/>
      <c r="B293" s="34"/>
      <c r="C293" s="34"/>
      <c r="D293" s="34"/>
      <c r="K293" s="17">
        <f t="shared" si="30"/>
        <v>0</v>
      </c>
      <c r="U293" s="17">
        <f t="shared" si="33"/>
        <v>0</v>
      </c>
      <c r="AA293" s="17">
        <f t="shared" si="31"/>
        <v>0</v>
      </c>
      <c r="AC293" s="33">
        <f t="shared" si="32"/>
        <v>0</v>
      </c>
    </row>
    <row r="294" spans="1:29">
      <c r="A294" s="34"/>
      <c r="B294" s="34"/>
      <c r="C294" s="34"/>
      <c r="D294" s="34"/>
      <c r="K294" s="17">
        <f t="shared" si="30"/>
        <v>0</v>
      </c>
      <c r="U294" s="17">
        <f t="shared" si="33"/>
        <v>0</v>
      </c>
      <c r="AA294" s="17">
        <f t="shared" si="31"/>
        <v>0</v>
      </c>
      <c r="AC294" s="33">
        <f t="shared" si="32"/>
        <v>0</v>
      </c>
    </row>
    <row r="295" spans="1:29">
      <c r="A295" s="34"/>
      <c r="B295" s="34"/>
      <c r="C295" s="34"/>
      <c r="D295" s="34"/>
      <c r="K295" s="17">
        <f t="shared" si="30"/>
        <v>0</v>
      </c>
      <c r="U295" s="17">
        <f t="shared" si="33"/>
        <v>0</v>
      </c>
      <c r="AA295" s="17">
        <f t="shared" si="31"/>
        <v>0</v>
      </c>
      <c r="AC295" s="33">
        <f t="shared" si="32"/>
        <v>0</v>
      </c>
    </row>
    <row r="296" spans="1:29">
      <c r="A296" s="34"/>
      <c r="B296" s="34"/>
      <c r="C296" s="34"/>
      <c r="D296" s="34"/>
      <c r="K296" s="17">
        <f t="shared" si="30"/>
        <v>0</v>
      </c>
      <c r="U296" s="17">
        <f t="shared" si="33"/>
        <v>0</v>
      </c>
      <c r="AA296" s="17">
        <f t="shared" si="31"/>
        <v>0</v>
      </c>
      <c r="AC296" s="33">
        <f t="shared" si="32"/>
        <v>0</v>
      </c>
    </row>
    <row r="297" spans="1:29">
      <c r="A297" s="34"/>
      <c r="B297" s="34"/>
      <c r="C297" s="34"/>
      <c r="D297" s="34"/>
      <c r="K297" s="17">
        <f t="shared" si="30"/>
        <v>0</v>
      </c>
      <c r="U297" s="17">
        <f t="shared" si="33"/>
        <v>0</v>
      </c>
      <c r="AA297" s="17">
        <f t="shared" si="31"/>
        <v>0</v>
      </c>
      <c r="AC297" s="33">
        <f t="shared" si="32"/>
        <v>0</v>
      </c>
    </row>
    <row r="298" spans="1:29">
      <c r="A298" s="34"/>
      <c r="B298" s="34"/>
      <c r="C298" s="34"/>
      <c r="D298" s="34"/>
      <c r="K298" s="17">
        <f t="shared" si="30"/>
        <v>0</v>
      </c>
      <c r="U298" s="17">
        <f t="shared" si="33"/>
        <v>0</v>
      </c>
      <c r="AA298" s="17">
        <f t="shared" si="31"/>
        <v>0</v>
      </c>
      <c r="AC298" s="33">
        <f t="shared" si="32"/>
        <v>0</v>
      </c>
    </row>
    <row r="299" spans="1:29">
      <c r="A299" s="34"/>
      <c r="B299" s="34"/>
      <c r="C299" s="34"/>
      <c r="D299" s="34"/>
      <c r="K299" s="17">
        <f t="shared" si="30"/>
        <v>0</v>
      </c>
      <c r="U299" s="17">
        <f t="shared" si="33"/>
        <v>0</v>
      </c>
      <c r="AA299" s="17">
        <f t="shared" si="31"/>
        <v>0</v>
      </c>
      <c r="AC299" s="33">
        <f t="shared" si="32"/>
        <v>0</v>
      </c>
    </row>
    <row r="300" spans="1:29">
      <c r="A300" s="34"/>
      <c r="B300" s="34"/>
      <c r="C300" s="34"/>
      <c r="D300" s="34"/>
      <c r="K300" s="17">
        <f t="shared" si="30"/>
        <v>0</v>
      </c>
      <c r="U300" s="17">
        <f t="shared" si="33"/>
        <v>0</v>
      </c>
      <c r="AA300" s="17">
        <f>+I300-Q300-Y300</f>
        <v>0</v>
      </c>
      <c r="AC300" s="33">
        <f t="shared" si="32"/>
        <v>0</v>
      </c>
    </row>
    <row r="301" spans="1:29">
      <c r="A301" s="34"/>
      <c r="B301" s="34"/>
      <c r="C301" s="34"/>
      <c r="D301" s="34"/>
      <c r="K301" s="17">
        <f t="shared" si="30"/>
        <v>0</v>
      </c>
      <c r="U301" s="17">
        <f t="shared" si="33"/>
        <v>0</v>
      </c>
      <c r="AA301" s="17">
        <f t="shared" si="31"/>
        <v>0</v>
      </c>
      <c r="AC301" s="33">
        <f t="shared" si="32"/>
        <v>0</v>
      </c>
    </row>
    <row r="302" spans="1:29">
      <c r="A302" s="34"/>
      <c r="B302" s="34"/>
      <c r="C302" s="34"/>
      <c r="D302" s="34"/>
      <c r="K302" s="17">
        <f t="shared" si="30"/>
        <v>0</v>
      </c>
      <c r="U302" s="17">
        <f t="shared" si="33"/>
        <v>0</v>
      </c>
      <c r="AA302" s="17">
        <f t="shared" si="31"/>
        <v>0</v>
      </c>
      <c r="AC302" s="33">
        <f t="shared" si="32"/>
        <v>0</v>
      </c>
    </row>
    <row r="303" spans="1:29">
      <c r="A303" s="34"/>
      <c r="B303" s="34"/>
      <c r="C303" s="34"/>
      <c r="D303" s="34"/>
      <c r="K303" s="17">
        <f t="shared" si="30"/>
        <v>0</v>
      </c>
      <c r="U303" s="17">
        <f t="shared" si="33"/>
        <v>0</v>
      </c>
      <c r="AA303" s="17">
        <f t="shared" si="31"/>
        <v>0</v>
      </c>
      <c r="AC303" s="33">
        <f t="shared" si="32"/>
        <v>0</v>
      </c>
    </row>
    <row r="304" spans="1:29">
      <c r="A304" s="34"/>
      <c r="B304" s="34"/>
      <c r="C304" s="34"/>
      <c r="D304" s="34"/>
      <c r="K304" s="17">
        <f t="shared" si="30"/>
        <v>0</v>
      </c>
      <c r="U304" s="17">
        <f t="shared" si="33"/>
        <v>0</v>
      </c>
      <c r="AA304" s="17">
        <f t="shared" si="31"/>
        <v>0</v>
      </c>
      <c r="AC304" s="33">
        <f t="shared" si="32"/>
        <v>0</v>
      </c>
    </row>
    <row r="305" spans="1:29">
      <c r="A305" s="34"/>
      <c r="B305" s="34"/>
      <c r="C305" s="34"/>
      <c r="D305" s="34"/>
      <c r="K305" s="17">
        <f t="shared" si="30"/>
        <v>0</v>
      </c>
      <c r="U305" s="17">
        <f t="shared" si="33"/>
        <v>0</v>
      </c>
      <c r="AA305" s="17">
        <f t="shared" si="31"/>
        <v>0</v>
      </c>
      <c r="AC305" s="33">
        <f t="shared" si="32"/>
        <v>0</v>
      </c>
    </row>
    <row r="306" spans="1:29">
      <c r="A306" s="34"/>
      <c r="B306" s="34"/>
      <c r="C306" s="34"/>
      <c r="D306" s="34"/>
      <c r="K306" s="17">
        <f t="shared" si="30"/>
        <v>0</v>
      </c>
      <c r="U306" s="17">
        <f t="shared" si="33"/>
        <v>0</v>
      </c>
      <c r="AA306" s="17">
        <f t="shared" si="31"/>
        <v>0</v>
      </c>
      <c r="AC306" s="33">
        <f t="shared" si="32"/>
        <v>0</v>
      </c>
    </row>
    <row r="307" spans="1:29">
      <c r="A307" s="34"/>
      <c r="B307" s="34"/>
      <c r="C307" s="34"/>
      <c r="D307" s="34"/>
      <c r="K307" s="17">
        <f t="shared" si="30"/>
        <v>0</v>
      </c>
      <c r="U307" s="17">
        <f t="shared" si="33"/>
        <v>0</v>
      </c>
      <c r="AA307" s="17">
        <f t="shared" si="31"/>
        <v>0</v>
      </c>
      <c r="AC307" s="33">
        <f t="shared" si="32"/>
        <v>0</v>
      </c>
    </row>
    <row r="308" spans="1:29">
      <c r="A308" s="30"/>
      <c r="B308" s="30"/>
      <c r="C308" s="30"/>
      <c r="D308" s="30"/>
      <c r="K308" s="17">
        <f t="shared" si="30"/>
        <v>0</v>
      </c>
      <c r="U308" s="17">
        <f t="shared" si="33"/>
        <v>0</v>
      </c>
      <c r="AA308" s="17">
        <f t="shared" si="31"/>
        <v>0</v>
      </c>
      <c r="AC308" s="17">
        <f t="shared" si="32"/>
        <v>0</v>
      </c>
    </row>
    <row r="309" spans="1:29">
      <c r="A309" s="34"/>
      <c r="B309" s="34"/>
      <c r="C309" s="34"/>
      <c r="D309" s="34"/>
      <c r="K309" s="17">
        <f t="shared" si="30"/>
        <v>0</v>
      </c>
      <c r="U309" s="17">
        <f t="shared" si="33"/>
        <v>0</v>
      </c>
      <c r="AA309" s="17">
        <f t="shared" si="31"/>
        <v>0</v>
      </c>
      <c r="AC309" s="33">
        <f t="shared" si="32"/>
        <v>0</v>
      </c>
    </row>
    <row r="310" spans="1:29">
      <c r="A310" s="34"/>
      <c r="B310" s="34"/>
      <c r="C310" s="34"/>
      <c r="D310" s="34"/>
      <c r="K310" s="17">
        <f t="shared" si="30"/>
        <v>0</v>
      </c>
      <c r="U310" s="17">
        <f t="shared" si="33"/>
        <v>0</v>
      </c>
      <c r="AA310" s="17">
        <f t="shared" si="31"/>
        <v>0</v>
      </c>
      <c r="AC310" s="33">
        <f t="shared" si="32"/>
        <v>0</v>
      </c>
    </row>
    <row r="311" spans="1:29">
      <c r="A311" s="34"/>
      <c r="B311" s="34"/>
      <c r="C311" s="34"/>
      <c r="D311" s="34"/>
      <c r="K311" s="17">
        <f t="shared" si="30"/>
        <v>0</v>
      </c>
      <c r="U311" s="17">
        <f t="shared" si="33"/>
        <v>0</v>
      </c>
      <c r="AA311" s="17">
        <f t="shared" si="31"/>
        <v>0</v>
      </c>
      <c r="AC311" s="33">
        <f t="shared" si="32"/>
        <v>0</v>
      </c>
    </row>
    <row r="312" spans="1:29">
      <c r="A312" s="34"/>
      <c r="B312" s="34"/>
      <c r="C312" s="34"/>
      <c r="D312" s="34"/>
      <c r="K312" s="17">
        <f t="shared" si="30"/>
        <v>0</v>
      </c>
      <c r="U312" s="17">
        <f t="shared" si="33"/>
        <v>0</v>
      </c>
      <c r="AA312" s="17">
        <f t="shared" si="31"/>
        <v>0</v>
      </c>
      <c r="AC312" s="33">
        <f t="shared" si="32"/>
        <v>0</v>
      </c>
    </row>
    <row r="313" spans="1:29">
      <c r="A313" s="34"/>
      <c r="B313" s="34"/>
      <c r="C313" s="34"/>
      <c r="D313" s="34"/>
      <c r="K313" s="17">
        <f t="shared" si="30"/>
        <v>0</v>
      </c>
      <c r="U313" s="17">
        <f t="shared" si="33"/>
        <v>0</v>
      </c>
      <c r="AA313" s="17">
        <f t="shared" si="31"/>
        <v>0</v>
      </c>
      <c r="AC313" s="33">
        <f t="shared" si="32"/>
        <v>0</v>
      </c>
    </row>
    <row r="314" spans="1:29">
      <c r="A314" s="34"/>
      <c r="B314" s="34"/>
      <c r="C314" s="34"/>
      <c r="D314" s="34"/>
      <c r="K314" s="17">
        <f t="shared" si="30"/>
        <v>0</v>
      </c>
      <c r="U314" s="17">
        <f t="shared" si="33"/>
        <v>0</v>
      </c>
      <c r="AA314" s="17">
        <f t="shared" si="31"/>
        <v>0</v>
      </c>
      <c r="AC314" s="33">
        <f t="shared" si="32"/>
        <v>0</v>
      </c>
    </row>
    <row r="315" spans="1:29">
      <c r="A315" s="34"/>
      <c r="B315" s="34"/>
      <c r="C315" s="34"/>
      <c r="D315" s="34"/>
      <c r="K315" s="17">
        <f t="shared" si="30"/>
        <v>0</v>
      </c>
      <c r="U315" s="17">
        <f t="shared" si="33"/>
        <v>0</v>
      </c>
      <c r="AA315" s="17">
        <f t="shared" si="31"/>
        <v>0</v>
      </c>
      <c r="AC315" s="33">
        <f t="shared" si="32"/>
        <v>0</v>
      </c>
    </row>
    <row r="316" spans="1:29">
      <c r="A316" s="34"/>
      <c r="B316" s="34"/>
      <c r="C316" s="34"/>
      <c r="D316" s="34"/>
      <c r="K316" s="17">
        <f t="shared" si="30"/>
        <v>0</v>
      </c>
      <c r="U316" s="17">
        <f t="shared" si="33"/>
        <v>0</v>
      </c>
      <c r="AA316" s="17">
        <f t="shared" si="31"/>
        <v>0</v>
      </c>
      <c r="AC316" s="33">
        <f t="shared" si="32"/>
        <v>0</v>
      </c>
    </row>
    <row r="317" spans="1:29">
      <c r="A317" s="34"/>
      <c r="B317" s="34"/>
      <c r="C317" s="34"/>
      <c r="D317" s="34"/>
      <c r="K317" s="17">
        <f t="shared" si="30"/>
        <v>0</v>
      </c>
      <c r="U317" s="17">
        <f t="shared" si="33"/>
        <v>0</v>
      </c>
      <c r="AA317" s="17">
        <f t="shared" si="31"/>
        <v>0</v>
      </c>
      <c r="AC317" s="33">
        <f t="shared" si="32"/>
        <v>0</v>
      </c>
    </row>
    <row r="318" spans="1:29">
      <c r="A318" s="34"/>
      <c r="B318" s="34"/>
      <c r="C318" s="34"/>
      <c r="D318" s="34"/>
      <c r="K318" s="17">
        <f t="shared" si="30"/>
        <v>0</v>
      </c>
      <c r="U318" s="17">
        <f t="shared" si="33"/>
        <v>0</v>
      </c>
      <c r="AA318" s="17">
        <f t="shared" si="31"/>
        <v>0</v>
      </c>
      <c r="AC318" s="33">
        <f t="shared" si="32"/>
        <v>0</v>
      </c>
    </row>
    <row r="319" spans="1:29">
      <c r="A319" s="34"/>
      <c r="B319" s="34"/>
      <c r="C319" s="34"/>
      <c r="D319" s="34"/>
      <c r="K319" s="17">
        <f t="shared" si="30"/>
        <v>0</v>
      </c>
      <c r="U319" s="17">
        <f t="shared" si="33"/>
        <v>0</v>
      </c>
      <c r="AA319" s="17">
        <f t="shared" si="31"/>
        <v>0</v>
      </c>
      <c r="AC319" s="33">
        <f t="shared" si="32"/>
        <v>0</v>
      </c>
    </row>
    <row r="320" spans="1:29">
      <c r="A320" s="34"/>
      <c r="B320" s="34"/>
      <c r="C320" s="34"/>
      <c r="D320" s="34"/>
      <c r="K320" s="17">
        <f t="shared" si="30"/>
        <v>0</v>
      </c>
      <c r="U320" s="17">
        <f t="shared" si="33"/>
        <v>0</v>
      </c>
      <c r="AA320" s="17">
        <f t="shared" si="31"/>
        <v>0</v>
      </c>
      <c r="AC320" s="33">
        <f t="shared" si="32"/>
        <v>0</v>
      </c>
    </row>
    <row r="321" spans="1:29">
      <c r="A321" s="34"/>
      <c r="B321" s="34"/>
      <c r="C321" s="34"/>
      <c r="D321" s="34"/>
      <c r="K321" s="17">
        <f t="shared" si="30"/>
        <v>0</v>
      </c>
      <c r="U321" s="17">
        <f t="shared" si="33"/>
        <v>0</v>
      </c>
      <c r="AA321" s="17">
        <f t="shared" si="31"/>
        <v>0</v>
      </c>
      <c r="AC321" s="33">
        <f t="shared" si="32"/>
        <v>0</v>
      </c>
    </row>
    <row r="322" spans="1:29">
      <c r="A322" s="30"/>
      <c r="B322" s="34"/>
      <c r="C322" s="34"/>
      <c r="D322" s="34"/>
      <c r="K322" s="17">
        <f t="shared" si="30"/>
        <v>0</v>
      </c>
      <c r="U322" s="17">
        <f t="shared" si="33"/>
        <v>0</v>
      </c>
      <c r="AA322" s="17">
        <f t="shared" si="31"/>
        <v>0</v>
      </c>
      <c r="AC322" s="33">
        <f t="shared" si="32"/>
        <v>0</v>
      </c>
    </row>
    <row r="323" spans="1:29">
      <c r="A323" s="34"/>
      <c r="B323" s="34"/>
      <c r="C323" s="34"/>
      <c r="D323" s="34"/>
      <c r="K323" s="17">
        <f t="shared" si="30"/>
        <v>0</v>
      </c>
      <c r="U323" s="17">
        <f t="shared" si="33"/>
        <v>0</v>
      </c>
      <c r="AA323" s="17">
        <f t="shared" si="31"/>
        <v>0</v>
      </c>
      <c r="AC323" s="33">
        <f t="shared" si="32"/>
        <v>0</v>
      </c>
    </row>
    <row r="324" spans="1:29">
      <c r="A324" s="34"/>
      <c r="B324" s="34"/>
      <c r="C324" s="34"/>
      <c r="D324" s="34"/>
      <c r="K324" s="17">
        <f t="shared" si="30"/>
        <v>0</v>
      </c>
      <c r="U324" s="17">
        <f t="shared" si="33"/>
        <v>0</v>
      </c>
      <c r="AA324" s="17">
        <f t="shared" si="31"/>
        <v>0</v>
      </c>
      <c r="AC324" s="33">
        <f t="shared" si="32"/>
        <v>0</v>
      </c>
    </row>
    <row r="325" spans="1:29">
      <c r="A325" s="34"/>
      <c r="B325" s="34"/>
      <c r="C325" s="34"/>
      <c r="D325" s="34"/>
      <c r="K325" s="17">
        <f t="shared" ref="K325:K326" si="34">+Q325-M325-O325</f>
        <v>0</v>
      </c>
      <c r="U325" s="17">
        <f t="shared" si="33"/>
        <v>0</v>
      </c>
      <c r="AA325" s="17">
        <f t="shared" ref="AA325:AA392" si="35">+I325-Q325-Y325</f>
        <v>0</v>
      </c>
      <c r="AC325" s="33">
        <f t="shared" ref="AC325:AC389" si="36">+E325+G325+-K325-M325-S325-U325-W325-O325</f>
        <v>0</v>
      </c>
    </row>
    <row r="326" spans="1:29">
      <c r="A326" s="34"/>
      <c r="B326" s="34"/>
      <c r="C326" s="34"/>
      <c r="D326" s="34"/>
      <c r="K326" s="17">
        <f t="shared" si="34"/>
        <v>0</v>
      </c>
      <c r="U326" s="17">
        <f t="shared" si="33"/>
        <v>0</v>
      </c>
      <c r="AA326" s="17">
        <f t="shared" si="35"/>
        <v>0</v>
      </c>
      <c r="AC326" s="33">
        <f t="shared" si="36"/>
        <v>0</v>
      </c>
    </row>
    <row r="329" spans="1:29" s="33" customFormat="1">
      <c r="A329" s="31"/>
      <c r="B329" s="31"/>
      <c r="C329" s="31"/>
      <c r="D329" s="31"/>
      <c r="K329" s="33">
        <f t="shared" ref="K329:K392" si="37">+Q329-M329-O329</f>
        <v>0</v>
      </c>
      <c r="U329" s="33">
        <f t="shared" ref="U329:U386" si="38">Y329-W329-S329</f>
        <v>0</v>
      </c>
      <c r="AA329" s="33">
        <f t="shared" ref="AA329:AA335" si="39">+I329-Q329-Y329</f>
        <v>0</v>
      </c>
      <c r="AC329" s="33">
        <f t="shared" ref="AC329:AC335" si="40">+E329+G329+-K329-M329-S329-U329-W329-O329</f>
        <v>0</v>
      </c>
    </row>
    <row r="330" spans="1:29">
      <c r="A330" s="34"/>
      <c r="B330" s="34"/>
      <c r="C330" s="34"/>
      <c r="D330" s="34"/>
      <c r="K330" s="17">
        <f t="shared" si="37"/>
        <v>0</v>
      </c>
      <c r="U330" s="17">
        <f t="shared" si="38"/>
        <v>0</v>
      </c>
      <c r="AA330" s="17">
        <f t="shared" si="39"/>
        <v>0</v>
      </c>
      <c r="AC330" s="33">
        <f t="shared" si="40"/>
        <v>0</v>
      </c>
    </row>
    <row r="331" spans="1:29">
      <c r="A331" s="34"/>
      <c r="B331" s="34"/>
      <c r="C331" s="34"/>
      <c r="D331" s="34"/>
      <c r="K331" s="17">
        <f t="shared" si="37"/>
        <v>0</v>
      </c>
      <c r="U331" s="17">
        <f t="shared" si="38"/>
        <v>0</v>
      </c>
      <c r="AA331" s="17">
        <f t="shared" si="39"/>
        <v>0</v>
      </c>
      <c r="AC331" s="33">
        <f t="shared" si="40"/>
        <v>0</v>
      </c>
    </row>
    <row r="332" spans="1:29">
      <c r="A332" s="34"/>
      <c r="B332" s="34"/>
      <c r="C332" s="34"/>
      <c r="D332" s="34"/>
      <c r="E332" s="33"/>
      <c r="F332" s="33"/>
      <c r="G332" s="33"/>
      <c r="H332" s="33"/>
      <c r="I332" s="33"/>
      <c r="J332" s="33"/>
      <c r="K332" s="33">
        <f t="shared" si="37"/>
        <v>0</v>
      </c>
      <c r="L332" s="33"/>
      <c r="M332" s="33"/>
      <c r="N332" s="33"/>
      <c r="O332" s="33"/>
      <c r="P332" s="33"/>
      <c r="Q332" s="33"/>
      <c r="R332" s="33"/>
      <c r="S332" s="33"/>
      <c r="T332" s="33"/>
      <c r="U332" s="33">
        <f t="shared" si="38"/>
        <v>0</v>
      </c>
      <c r="V332" s="33"/>
      <c r="W332" s="33"/>
      <c r="X332" s="33"/>
      <c r="Y332" s="33"/>
      <c r="Z332" s="33"/>
      <c r="AA332" s="33">
        <f t="shared" si="39"/>
        <v>0</v>
      </c>
      <c r="AB332" s="33"/>
      <c r="AC332" s="33">
        <f t="shared" si="40"/>
        <v>0</v>
      </c>
    </row>
    <row r="333" spans="1:29">
      <c r="A333" s="34"/>
      <c r="B333" s="34"/>
      <c r="C333" s="34"/>
      <c r="D333" s="34"/>
      <c r="K333" s="17">
        <f t="shared" si="37"/>
        <v>0</v>
      </c>
      <c r="U333" s="17">
        <f t="shared" si="38"/>
        <v>0</v>
      </c>
      <c r="AA333" s="17">
        <f t="shared" si="39"/>
        <v>0</v>
      </c>
      <c r="AC333" s="33">
        <f t="shared" si="40"/>
        <v>0</v>
      </c>
    </row>
    <row r="334" spans="1:29">
      <c r="A334" s="30"/>
      <c r="B334" s="30"/>
      <c r="C334" s="30"/>
      <c r="D334" s="30"/>
      <c r="K334" s="17">
        <f t="shared" si="37"/>
        <v>0</v>
      </c>
      <c r="U334" s="17">
        <f t="shared" si="38"/>
        <v>0</v>
      </c>
      <c r="AA334" s="17">
        <f t="shared" si="39"/>
        <v>0</v>
      </c>
      <c r="AC334" s="17">
        <f t="shared" si="40"/>
        <v>0</v>
      </c>
    </row>
    <row r="335" spans="1:29">
      <c r="A335" s="30"/>
      <c r="B335" s="30"/>
      <c r="C335" s="30"/>
      <c r="D335" s="30"/>
      <c r="K335" s="17">
        <f t="shared" si="37"/>
        <v>0</v>
      </c>
      <c r="U335" s="17">
        <f t="shared" si="38"/>
        <v>0</v>
      </c>
      <c r="AA335" s="17">
        <f t="shared" si="39"/>
        <v>0</v>
      </c>
      <c r="AC335" s="17">
        <f t="shared" si="40"/>
        <v>0</v>
      </c>
    </row>
    <row r="336" spans="1:29">
      <c r="A336" s="30"/>
      <c r="B336" s="30"/>
      <c r="C336" s="30"/>
      <c r="D336" s="30"/>
      <c r="K336" s="17">
        <f t="shared" si="37"/>
        <v>0</v>
      </c>
      <c r="U336" s="17">
        <f t="shared" si="38"/>
        <v>0</v>
      </c>
      <c r="AA336" s="17">
        <f t="shared" si="35"/>
        <v>0</v>
      </c>
      <c r="AC336" s="17">
        <f t="shared" si="36"/>
        <v>0</v>
      </c>
    </row>
    <row r="337" spans="1:29">
      <c r="A337" s="34"/>
      <c r="B337" s="34"/>
      <c r="C337" s="34"/>
      <c r="D337" s="34"/>
      <c r="K337" s="17">
        <f t="shared" si="37"/>
        <v>0</v>
      </c>
      <c r="U337" s="17">
        <f t="shared" si="38"/>
        <v>0</v>
      </c>
      <c r="AA337" s="17">
        <f>+I337-Q337-Y337</f>
        <v>0</v>
      </c>
      <c r="AC337" s="33">
        <f t="shared" si="36"/>
        <v>0</v>
      </c>
    </row>
    <row r="338" spans="1:29">
      <c r="A338" s="34"/>
      <c r="B338" s="34"/>
      <c r="C338" s="34"/>
      <c r="D338" s="34"/>
      <c r="K338" s="17">
        <f t="shared" si="37"/>
        <v>0</v>
      </c>
      <c r="U338" s="17">
        <f t="shared" si="38"/>
        <v>0</v>
      </c>
      <c r="AA338" s="17">
        <f t="shared" si="35"/>
        <v>0</v>
      </c>
      <c r="AC338" s="33">
        <f t="shared" si="36"/>
        <v>0</v>
      </c>
    </row>
    <row r="339" spans="1:29">
      <c r="A339" s="34"/>
      <c r="B339" s="34"/>
      <c r="C339" s="34"/>
      <c r="D339" s="34"/>
      <c r="K339" s="17">
        <f t="shared" si="37"/>
        <v>0</v>
      </c>
      <c r="U339" s="17">
        <f t="shared" si="38"/>
        <v>0</v>
      </c>
      <c r="AA339" s="17">
        <f t="shared" si="35"/>
        <v>0</v>
      </c>
      <c r="AC339" s="33">
        <f t="shared" si="36"/>
        <v>0</v>
      </c>
    </row>
    <row r="340" spans="1:29">
      <c r="A340" s="34"/>
      <c r="B340" s="34"/>
      <c r="C340" s="34"/>
      <c r="D340" s="34"/>
      <c r="K340" s="17">
        <f t="shared" si="37"/>
        <v>0</v>
      </c>
      <c r="U340" s="17">
        <f t="shared" si="38"/>
        <v>0</v>
      </c>
      <c r="AA340" s="17">
        <f>+I340-Q340-Y340</f>
        <v>0</v>
      </c>
      <c r="AC340" s="33">
        <f>+E340+G340+-K340-M340-S340-U340-W340-O340</f>
        <v>0</v>
      </c>
    </row>
    <row r="341" spans="1:29">
      <c r="A341" s="34"/>
      <c r="B341" s="34"/>
      <c r="C341" s="34"/>
      <c r="D341" s="34"/>
      <c r="K341" s="17">
        <f t="shared" si="37"/>
        <v>0</v>
      </c>
      <c r="U341" s="17">
        <f t="shared" si="38"/>
        <v>0</v>
      </c>
      <c r="AA341" s="17">
        <f t="shared" si="35"/>
        <v>0</v>
      </c>
      <c r="AC341" s="33">
        <f t="shared" si="36"/>
        <v>0</v>
      </c>
    </row>
    <row r="342" spans="1:29">
      <c r="A342" s="34"/>
      <c r="B342" s="34"/>
      <c r="C342" s="34"/>
      <c r="D342" s="34"/>
      <c r="K342" s="17">
        <f t="shared" si="37"/>
        <v>0</v>
      </c>
      <c r="U342" s="17">
        <f t="shared" si="38"/>
        <v>0</v>
      </c>
      <c r="AA342" s="17">
        <f t="shared" si="35"/>
        <v>0</v>
      </c>
      <c r="AC342" s="33">
        <f t="shared" si="36"/>
        <v>0</v>
      </c>
    </row>
    <row r="343" spans="1:29">
      <c r="A343" s="34"/>
      <c r="B343" s="34"/>
      <c r="C343" s="34"/>
      <c r="D343" s="34"/>
      <c r="K343" s="17">
        <f t="shared" si="37"/>
        <v>0</v>
      </c>
      <c r="U343" s="17">
        <f t="shared" si="38"/>
        <v>0</v>
      </c>
      <c r="AA343" s="17">
        <f t="shared" si="35"/>
        <v>0</v>
      </c>
      <c r="AC343" s="33">
        <f t="shared" si="36"/>
        <v>0</v>
      </c>
    </row>
    <row r="344" spans="1:29">
      <c r="A344" s="34"/>
      <c r="B344" s="34"/>
      <c r="C344" s="34"/>
      <c r="D344" s="34"/>
      <c r="K344" s="17">
        <f t="shared" si="37"/>
        <v>0</v>
      </c>
      <c r="U344" s="17">
        <f t="shared" si="38"/>
        <v>0</v>
      </c>
      <c r="AA344" s="17">
        <f t="shared" si="35"/>
        <v>0</v>
      </c>
      <c r="AC344" s="33">
        <f t="shared" si="36"/>
        <v>0</v>
      </c>
    </row>
    <row r="345" spans="1:29">
      <c r="A345" s="34"/>
      <c r="B345" s="34"/>
      <c r="C345" s="34"/>
      <c r="D345" s="34"/>
      <c r="K345" s="17">
        <f t="shared" si="37"/>
        <v>0</v>
      </c>
      <c r="U345" s="17">
        <f t="shared" si="38"/>
        <v>0</v>
      </c>
      <c r="AA345" s="17">
        <f t="shared" si="35"/>
        <v>0</v>
      </c>
      <c r="AC345" s="33">
        <f t="shared" si="36"/>
        <v>0</v>
      </c>
    </row>
    <row r="346" spans="1:29">
      <c r="A346" s="34"/>
      <c r="B346" s="34"/>
      <c r="C346" s="34"/>
      <c r="D346" s="34"/>
      <c r="K346" s="17">
        <f t="shared" si="37"/>
        <v>0</v>
      </c>
      <c r="U346" s="17">
        <f t="shared" si="38"/>
        <v>0</v>
      </c>
      <c r="AA346" s="17">
        <f t="shared" si="35"/>
        <v>0</v>
      </c>
      <c r="AC346" s="33">
        <f t="shared" si="36"/>
        <v>0</v>
      </c>
    </row>
    <row r="347" spans="1:29">
      <c r="A347" s="34"/>
      <c r="B347" s="34"/>
      <c r="C347" s="34"/>
      <c r="D347" s="34"/>
      <c r="K347" s="17">
        <f t="shared" si="37"/>
        <v>0</v>
      </c>
      <c r="U347" s="17">
        <f t="shared" si="38"/>
        <v>0</v>
      </c>
      <c r="AA347" s="17">
        <f t="shared" si="35"/>
        <v>0</v>
      </c>
      <c r="AC347" s="33">
        <f t="shared" si="36"/>
        <v>0</v>
      </c>
    </row>
    <row r="348" spans="1:29">
      <c r="A348" s="34"/>
      <c r="B348" s="34"/>
      <c r="C348" s="34"/>
      <c r="D348" s="34"/>
      <c r="K348" s="17">
        <f t="shared" si="37"/>
        <v>0</v>
      </c>
      <c r="U348" s="17">
        <f t="shared" si="38"/>
        <v>0</v>
      </c>
      <c r="AA348" s="17">
        <f t="shared" si="35"/>
        <v>0</v>
      </c>
      <c r="AC348" s="33">
        <f t="shared" si="36"/>
        <v>0</v>
      </c>
    </row>
    <row r="349" spans="1:29">
      <c r="A349" s="34"/>
      <c r="B349" s="34"/>
      <c r="C349" s="34"/>
      <c r="D349" s="34"/>
      <c r="K349" s="17">
        <f t="shared" si="37"/>
        <v>0</v>
      </c>
      <c r="U349" s="17">
        <f t="shared" si="38"/>
        <v>0</v>
      </c>
      <c r="AA349" s="17">
        <f t="shared" si="35"/>
        <v>0</v>
      </c>
      <c r="AC349" s="33">
        <f t="shared" si="36"/>
        <v>0</v>
      </c>
    </row>
    <row r="350" spans="1:29">
      <c r="A350" s="34"/>
      <c r="B350" s="34"/>
      <c r="C350" s="34"/>
      <c r="D350" s="34"/>
      <c r="K350" s="17">
        <f t="shared" si="37"/>
        <v>0</v>
      </c>
      <c r="U350" s="17">
        <f t="shared" si="38"/>
        <v>0</v>
      </c>
      <c r="AA350" s="17">
        <f t="shared" si="35"/>
        <v>0</v>
      </c>
      <c r="AC350" s="33">
        <f t="shared" si="36"/>
        <v>0</v>
      </c>
    </row>
    <row r="351" spans="1:29">
      <c r="A351" s="34"/>
      <c r="B351" s="34"/>
      <c r="C351" s="34"/>
      <c r="D351" s="34"/>
      <c r="K351" s="17">
        <f t="shared" si="37"/>
        <v>0</v>
      </c>
      <c r="U351" s="17">
        <f t="shared" si="38"/>
        <v>0</v>
      </c>
      <c r="AA351" s="17">
        <f t="shared" si="35"/>
        <v>0</v>
      </c>
      <c r="AC351" s="33">
        <f t="shared" si="36"/>
        <v>0</v>
      </c>
    </row>
    <row r="352" spans="1:29">
      <c r="A352" s="34"/>
      <c r="B352" s="34"/>
      <c r="C352" s="34"/>
      <c r="D352" s="34"/>
      <c r="K352" s="17">
        <f t="shared" si="37"/>
        <v>0</v>
      </c>
      <c r="U352" s="17">
        <f t="shared" si="38"/>
        <v>0</v>
      </c>
      <c r="AA352" s="17">
        <f t="shared" si="35"/>
        <v>0</v>
      </c>
      <c r="AC352" s="33">
        <f t="shared" si="36"/>
        <v>0</v>
      </c>
    </row>
    <row r="353" spans="1:29">
      <c r="A353" s="34"/>
      <c r="B353" s="34"/>
      <c r="C353" s="34"/>
      <c r="D353" s="34"/>
      <c r="K353" s="17">
        <f t="shared" si="37"/>
        <v>0</v>
      </c>
      <c r="U353" s="17">
        <f t="shared" si="38"/>
        <v>0</v>
      </c>
      <c r="AA353" s="17">
        <f t="shared" si="35"/>
        <v>0</v>
      </c>
      <c r="AC353" s="33">
        <f t="shared" si="36"/>
        <v>0</v>
      </c>
    </row>
    <row r="354" spans="1:29">
      <c r="A354" s="34"/>
      <c r="B354" s="34"/>
      <c r="C354" s="34"/>
      <c r="D354" s="34"/>
      <c r="K354" s="17">
        <f t="shared" si="37"/>
        <v>0</v>
      </c>
      <c r="U354" s="17">
        <f t="shared" si="38"/>
        <v>0</v>
      </c>
      <c r="AA354" s="17">
        <f t="shared" si="35"/>
        <v>0</v>
      </c>
      <c r="AC354" s="33">
        <f t="shared" si="36"/>
        <v>0</v>
      </c>
    </row>
    <row r="355" spans="1:29">
      <c r="A355" s="34"/>
      <c r="B355" s="34"/>
      <c r="C355" s="34"/>
      <c r="D355" s="34"/>
      <c r="K355" s="17">
        <f t="shared" si="37"/>
        <v>0</v>
      </c>
      <c r="U355" s="17">
        <f t="shared" si="38"/>
        <v>0</v>
      </c>
      <c r="AA355" s="17">
        <f t="shared" si="35"/>
        <v>0</v>
      </c>
      <c r="AC355" s="33">
        <f t="shared" si="36"/>
        <v>0</v>
      </c>
    </row>
    <row r="356" spans="1:29">
      <c r="A356" s="34"/>
      <c r="B356" s="34"/>
      <c r="C356" s="34"/>
      <c r="D356" s="34"/>
      <c r="K356" s="17">
        <f t="shared" si="37"/>
        <v>0</v>
      </c>
      <c r="U356" s="17">
        <f t="shared" si="38"/>
        <v>0</v>
      </c>
      <c r="AA356" s="17">
        <f t="shared" si="35"/>
        <v>0</v>
      </c>
      <c r="AC356" s="33">
        <f t="shared" si="36"/>
        <v>0</v>
      </c>
    </row>
    <row r="357" spans="1:29">
      <c r="A357" s="34"/>
      <c r="B357" s="34"/>
      <c r="C357" s="34"/>
      <c r="D357" s="34"/>
      <c r="K357" s="17">
        <f t="shared" si="37"/>
        <v>0</v>
      </c>
      <c r="U357" s="17">
        <f t="shared" si="38"/>
        <v>0</v>
      </c>
      <c r="AA357" s="17">
        <f t="shared" si="35"/>
        <v>0</v>
      </c>
      <c r="AC357" s="33">
        <f t="shared" si="36"/>
        <v>0</v>
      </c>
    </row>
    <row r="358" spans="1:29">
      <c r="A358" s="34"/>
      <c r="B358" s="34"/>
      <c r="C358" s="34"/>
      <c r="D358" s="34"/>
      <c r="K358" s="17">
        <f t="shared" si="37"/>
        <v>0</v>
      </c>
      <c r="U358" s="17">
        <f t="shared" si="38"/>
        <v>0</v>
      </c>
      <c r="AA358" s="17">
        <f t="shared" si="35"/>
        <v>0</v>
      </c>
      <c r="AC358" s="33">
        <f t="shared" si="36"/>
        <v>0</v>
      </c>
    </row>
    <row r="359" spans="1:29">
      <c r="A359" s="34"/>
      <c r="B359" s="34"/>
      <c r="C359" s="34"/>
      <c r="D359" s="34"/>
      <c r="K359" s="17">
        <f t="shared" si="37"/>
        <v>0</v>
      </c>
      <c r="U359" s="17">
        <f t="shared" si="38"/>
        <v>0</v>
      </c>
      <c r="AA359" s="17">
        <f t="shared" si="35"/>
        <v>0</v>
      </c>
      <c r="AC359" s="33">
        <f t="shared" si="36"/>
        <v>0</v>
      </c>
    </row>
    <row r="360" spans="1:29">
      <c r="A360" s="34"/>
      <c r="B360" s="34"/>
      <c r="C360" s="34"/>
      <c r="D360" s="34"/>
      <c r="K360" s="17">
        <f t="shared" si="37"/>
        <v>0</v>
      </c>
      <c r="U360" s="17">
        <f t="shared" si="38"/>
        <v>0</v>
      </c>
      <c r="AA360" s="17">
        <f t="shared" si="35"/>
        <v>0</v>
      </c>
      <c r="AC360" s="33">
        <f t="shared" si="36"/>
        <v>0</v>
      </c>
    </row>
    <row r="361" spans="1:29">
      <c r="A361" s="34"/>
      <c r="B361" s="34"/>
      <c r="C361" s="34"/>
      <c r="D361" s="34"/>
      <c r="K361" s="17">
        <f t="shared" si="37"/>
        <v>0</v>
      </c>
      <c r="U361" s="17">
        <f t="shared" si="38"/>
        <v>0</v>
      </c>
      <c r="AA361" s="17">
        <f t="shared" si="35"/>
        <v>0</v>
      </c>
      <c r="AC361" s="33">
        <f t="shared" si="36"/>
        <v>0</v>
      </c>
    </row>
    <row r="362" spans="1:29">
      <c r="A362" s="34"/>
      <c r="B362" s="34"/>
      <c r="C362" s="34"/>
      <c r="D362" s="34"/>
      <c r="K362" s="17">
        <f t="shared" si="37"/>
        <v>0</v>
      </c>
      <c r="U362" s="17">
        <f t="shared" si="38"/>
        <v>0</v>
      </c>
      <c r="AA362" s="17">
        <f t="shared" si="35"/>
        <v>0</v>
      </c>
      <c r="AC362" s="33">
        <f t="shared" si="36"/>
        <v>0</v>
      </c>
    </row>
    <row r="363" spans="1:29">
      <c r="A363" s="34"/>
      <c r="B363" s="34"/>
      <c r="C363" s="34"/>
      <c r="D363" s="34"/>
      <c r="K363" s="17">
        <f t="shared" si="37"/>
        <v>0</v>
      </c>
      <c r="U363" s="17">
        <f t="shared" si="38"/>
        <v>0</v>
      </c>
      <c r="AA363" s="17">
        <f t="shared" si="35"/>
        <v>0</v>
      </c>
      <c r="AC363" s="33">
        <f t="shared" si="36"/>
        <v>0</v>
      </c>
    </row>
    <row r="364" spans="1:29">
      <c r="A364" s="34"/>
      <c r="B364" s="34"/>
      <c r="C364" s="34"/>
      <c r="D364" s="34"/>
      <c r="K364" s="17">
        <f t="shared" si="37"/>
        <v>0</v>
      </c>
      <c r="U364" s="17">
        <f t="shared" si="38"/>
        <v>0</v>
      </c>
      <c r="AA364" s="17">
        <f t="shared" si="35"/>
        <v>0</v>
      </c>
      <c r="AC364" s="33">
        <f t="shared" si="36"/>
        <v>0</v>
      </c>
    </row>
    <row r="365" spans="1:29">
      <c r="A365" s="34"/>
      <c r="B365" s="34"/>
      <c r="C365" s="34"/>
      <c r="D365" s="34"/>
      <c r="K365" s="17">
        <f t="shared" si="37"/>
        <v>0</v>
      </c>
      <c r="U365" s="17">
        <f t="shared" si="38"/>
        <v>0</v>
      </c>
      <c r="AA365" s="17">
        <f t="shared" si="35"/>
        <v>0</v>
      </c>
      <c r="AC365" s="33">
        <f t="shared" si="36"/>
        <v>0</v>
      </c>
    </row>
    <row r="366" spans="1:29">
      <c r="A366" s="34"/>
      <c r="B366" s="34"/>
      <c r="C366" s="34"/>
      <c r="D366" s="34"/>
      <c r="K366" s="17">
        <f t="shared" si="37"/>
        <v>0</v>
      </c>
      <c r="U366" s="17">
        <f t="shared" si="38"/>
        <v>0</v>
      </c>
      <c r="AA366" s="17">
        <f t="shared" si="35"/>
        <v>0</v>
      </c>
      <c r="AC366" s="33">
        <f t="shared" si="36"/>
        <v>0</v>
      </c>
    </row>
    <row r="367" spans="1:29">
      <c r="A367" s="34"/>
      <c r="B367" s="34"/>
      <c r="C367" s="34"/>
      <c r="D367" s="34"/>
      <c r="K367" s="17">
        <f>+Q367-M367-O367</f>
        <v>0</v>
      </c>
      <c r="U367" s="17">
        <f>Y367-W367-S367</f>
        <v>0</v>
      </c>
      <c r="AA367" s="17">
        <f>+I367-Q367-Y367</f>
        <v>0</v>
      </c>
      <c r="AC367" s="33">
        <f>+E367+G367+-K367-M367-S367-U367-W367-O367</f>
        <v>0</v>
      </c>
    </row>
    <row r="368" spans="1:29">
      <c r="A368" s="34"/>
      <c r="B368" s="34"/>
      <c r="C368" s="34"/>
      <c r="D368" s="34"/>
      <c r="K368" s="17">
        <f t="shared" si="37"/>
        <v>0</v>
      </c>
      <c r="U368" s="17">
        <f t="shared" si="38"/>
        <v>0</v>
      </c>
      <c r="AA368" s="17">
        <f t="shared" si="35"/>
        <v>0</v>
      </c>
      <c r="AC368" s="33">
        <f t="shared" si="36"/>
        <v>0</v>
      </c>
    </row>
    <row r="369" spans="1:29">
      <c r="A369" s="34"/>
      <c r="B369" s="34"/>
      <c r="C369" s="34"/>
      <c r="D369" s="34"/>
      <c r="K369" s="17">
        <f t="shared" si="37"/>
        <v>0</v>
      </c>
      <c r="U369" s="17">
        <f t="shared" si="38"/>
        <v>0</v>
      </c>
      <c r="AA369" s="17">
        <f t="shared" si="35"/>
        <v>0</v>
      </c>
      <c r="AC369" s="33">
        <f t="shared" si="36"/>
        <v>0</v>
      </c>
    </row>
    <row r="370" spans="1:29">
      <c r="A370" s="34"/>
      <c r="B370" s="34"/>
      <c r="C370" s="34"/>
      <c r="D370" s="34"/>
      <c r="K370" s="17">
        <f t="shared" si="37"/>
        <v>0</v>
      </c>
      <c r="U370" s="17">
        <f t="shared" si="38"/>
        <v>0</v>
      </c>
      <c r="AA370" s="17">
        <f t="shared" si="35"/>
        <v>0</v>
      </c>
      <c r="AC370" s="33">
        <f t="shared" si="36"/>
        <v>0</v>
      </c>
    </row>
    <row r="371" spans="1:29">
      <c r="A371" s="34"/>
      <c r="B371" s="34"/>
      <c r="C371" s="34"/>
      <c r="D371" s="34"/>
      <c r="K371" s="17">
        <f t="shared" si="37"/>
        <v>0</v>
      </c>
      <c r="U371" s="17">
        <f t="shared" si="38"/>
        <v>0</v>
      </c>
      <c r="AA371" s="17">
        <f t="shared" si="35"/>
        <v>0</v>
      </c>
      <c r="AC371" s="33">
        <f t="shared" si="36"/>
        <v>0</v>
      </c>
    </row>
    <row r="372" spans="1:29">
      <c r="A372" s="34"/>
      <c r="B372" s="34"/>
      <c r="C372" s="34"/>
      <c r="D372" s="34"/>
      <c r="K372" s="17">
        <f t="shared" si="37"/>
        <v>0</v>
      </c>
      <c r="U372" s="17">
        <f t="shared" si="38"/>
        <v>0</v>
      </c>
      <c r="AA372" s="17">
        <f t="shared" si="35"/>
        <v>0</v>
      </c>
      <c r="AC372" s="33">
        <f t="shared" si="36"/>
        <v>0</v>
      </c>
    </row>
    <row r="373" spans="1:29">
      <c r="A373" s="34"/>
      <c r="B373" s="34"/>
      <c r="C373" s="34"/>
      <c r="D373" s="34"/>
      <c r="K373" s="17">
        <f t="shared" si="37"/>
        <v>0</v>
      </c>
      <c r="U373" s="17">
        <f t="shared" si="38"/>
        <v>0</v>
      </c>
      <c r="AA373" s="17">
        <f t="shared" si="35"/>
        <v>0</v>
      </c>
      <c r="AC373" s="33">
        <f t="shared" si="36"/>
        <v>0</v>
      </c>
    </row>
    <row r="374" spans="1:29">
      <c r="A374" s="34"/>
      <c r="B374" s="34"/>
      <c r="C374" s="34"/>
      <c r="D374" s="34"/>
      <c r="K374" s="17">
        <f t="shared" si="37"/>
        <v>0</v>
      </c>
      <c r="U374" s="17">
        <f t="shared" si="38"/>
        <v>0</v>
      </c>
      <c r="AA374" s="17">
        <f t="shared" si="35"/>
        <v>0</v>
      </c>
      <c r="AC374" s="33">
        <f t="shared" si="36"/>
        <v>0</v>
      </c>
    </row>
    <row r="375" spans="1:29">
      <c r="A375" s="34"/>
      <c r="B375" s="34"/>
      <c r="C375" s="34"/>
      <c r="D375" s="34"/>
      <c r="K375" s="17">
        <f t="shared" si="37"/>
        <v>0</v>
      </c>
      <c r="U375" s="17">
        <f t="shared" si="38"/>
        <v>0</v>
      </c>
      <c r="AA375" s="17">
        <f t="shared" si="35"/>
        <v>0</v>
      </c>
      <c r="AC375" s="33">
        <f t="shared" si="36"/>
        <v>0</v>
      </c>
    </row>
    <row r="376" spans="1:29">
      <c r="A376" s="34"/>
      <c r="B376" s="34"/>
      <c r="C376" s="34"/>
      <c r="D376" s="34"/>
      <c r="K376" s="17">
        <f t="shared" si="37"/>
        <v>0</v>
      </c>
      <c r="U376" s="17">
        <f t="shared" si="38"/>
        <v>0</v>
      </c>
      <c r="AA376" s="17">
        <f t="shared" si="35"/>
        <v>0</v>
      </c>
      <c r="AC376" s="33">
        <f t="shared" si="36"/>
        <v>0</v>
      </c>
    </row>
    <row r="377" spans="1:29">
      <c r="A377" s="34"/>
      <c r="B377" s="34"/>
      <c r="C377" s="34"/>
      <c r="D377" s="34"/>
      <c r="K377" s="17">
        <f t="shared" si="37"/>
        <v>0</v>
      </c>
      <c r="U377" s="17">
        <f t="shared" si="38"/>
        <v>0</v>
      </c>
      <c r="AA377" s="17">
        <f t="shared" si="35"/>
        <v>0</v>
      </c>
      <c r="AC377" s="33">
        <f t="shared" si="36"/>
        <v>0</v>
      </c>
    </row>
    <row r="378" spans="1:29">
      <c r="A378" s="34"/>
      <c r="B378" s="34"/>
      <c r="C378" s="34"/>
      <c r="D378" s="34"/>
      <c r="K378" s="17">
        <f t="shared" si="37"/>
        <v>0</v>
      </c>
      <c r="U378" s="17">
        <f t="shared" si="38"/>
        <v>0</v>
      </c>
      <c r="AA378" s="17">
        <f t="shared" si="35"/>
        <v>0</v>
      </c>
      <c r="AC378" s="33">
        <f t="shared" si="36"/>
        <v>0</v>
      </c>
    </row>
    <row r="379" spans="1:29">
      <c r="A379" s="34"/>
      <c r="B379" s="34"/>
      <c r="C379" s="34"/>
      <c r="D379" s="34"/>
      <c r="K379" s="17">
        <f t="shared" si="37"/>
        <v>0</v>
      </c>
      <c r="U379" s="17">
        <f t="shared" si="38"/>
        <v>0</v>
      </c>
      <c r="AA379" s="17">
        <f t="shared" si="35"/>
        <v>0</v>
      </c>
      <c r="AC379" s="33">
        <f t="shared" si="36"/>
        <v>0</v>
      </c>
    </row>
    <row r="380" spans="1:29">
      <c r="A380" s="34"/>
      <c r="B380" s="34"/>
      <c r="C380" s="34"/>
      <c r="D380" s="34"/>
      <c r="K380" s="17">
        <f t="shared" si="37"/>
        <v>0</v>
      </c>
      <c r="U380" s="17">
        <f t="shared" si="38"/>
        <v>0</v>
      </c>
      <c r="AA380" s="17">
        <f t="shared" si="35"/>
        <v>0</v>
      </c>
      <c r="AC380" s="33">
        <f t="shared" si="36"/>
        <v>0</v>
      </c>
    </row>
    <row r="381" spans="1:29">
      <c r="A381" s="34"/>
      <c r="B381" s="34"/>
      <c r="C381" s="34"/>
      <c r="D381" s="34"/>
      <c r="K381" s="17">
        <f t="shared" si="37"/>
        <v>0</v>
      </c>
      <c r="U381" s="17">
        <f t="shared" si="38"/>
        <v>0</v>
      </c>
      <c r="AA381" s="17">
        <f t="shared" si="35"/>
        <v>0</v>
      </c>
      <c r="AC381" s="33">
        <f t="shared" si="36"/>
        <v>0</v>
      </c>
    </row>
    <row r="382" spans="1:29">
      <c r="A382" s="34"/>
      <c r="B382" s="34"/>
      <c r="C382" s="34"/>
      <c r="D382" s="34"/>
      <c r="K382" s="17">
        <f t="shared" si="37"/>
        <v>0</v>
      </c>
      <c r="U382" s="17">
        <f t="shared" si="38"/>
        <v>0</v>
      </c>
      <c r="AA382" s="17">
        <f t="shared" si="35"/>
        <v>0</v>
      </c>
      <c r="AC382" s="33">
        <f t="shared" si="36"/>
        <v>0</v>
      </c>
    </row>
    <row r="383" spans="1:29">
      <c r="A383" s="34"/>
      <c r="B383" s="34"/>
      <c r="C383" s="34"/>
      <c r="D383" s="34"/>
      <c r="K383" s="17">
        <f t="shared" si="37"/>
        <v>0</v>
      </c>
      <c r="U383" s="17">
        <f t="shared" si="38"/>
        <v>0</v>
      </c>
      <c r="AA383" s="17">
        <f t="shared" si="35"/>
        <v>0</v>
      </c>
      <c r="AC383" s="33">
        <f t="shared" si="36"/>
        <v>0</v>
      </c>
    </row>
    <row r="384" spans="1:29">
      <c r="A384" s="34"/>
      <c r="B384" s="34"/>
      <c r="C384" s="34"/>
      <c r="D384" s="34"/>
      <c r="K384" s="17">
        <f t="shared" si="37"/>
        <v>0</v>
      </c>
      <c r="U384" s="17">
        <f t="shared" si="38"/>
        <v>0</v>
      </c>
      <c r="AA384" s="17">
        <f t="shared" si="35"/>
        <v>0</v>
      </c>
      <c r="AC384" s="33">
        <f t="shared" si="36"/>
        <v>0</v>
      </c>
    </row>
    <row r="385" spans="1:31">
      <c r="A385" s="34"/>
      <c r="B385" s="34"/>
      <c r="C385" s="34"/>
      <c r="D385" s="34"/>
      <c r="K385" s="17">
        <f t="shared" si="37"/>
        <v>0</v>
      </c>
      <c r="U385" s="17">
        <f t="shared" si="38"/>
        <v>0</v>
      </c>
      <c r="AA385" s="17">
        <f t="shared" si="35"/>
        <v>0</v>
      </c>
      <c r="AC385" s="33">
        <f t="shared" si="36"/>
        <v>0</v>
      </c>
    </row>
    <row r="386" spans="1:31">
      <c r="A386" s="34"/>
      <c r="B386" s="34"/>
      <c r="C386" s="34"/>
      <c r="D386" s="34"/>
      <c r="K386" s="17">
        <f t="shared" si="37"/>
        <v>0</v>
      </c>
      <c r="U386" s="17">
        <f t="shared" si="38"/>
        <v>0</v>
      </c>
      <c r="AA386" s="17">
        <f t="shared" si="35"/>
        <v>0</v>
      </c>
      <c r="AC386" s="33">
        <f t="shared" si="36"/>
        <v>0</v>
      </c>
    </row>
    <row r="387" spans="1:31">
      <c r="A387" s="34"/>
      <c r="B387" s="34"/>
      <c r="C387" s="34"/>
      <c r="D387" s="34"/>
      <c r="K387" s="17">
        <f t="shared" si="37"/>
        <v>0</v>
      </c>
      <c r="U387" s="17">
        <f>Y387-W387-S387</f>
        <v>0</v>
      </c>
      <c r="AA387" s="17">
        <f t="shared" si="35"/>
        <v>0</v>
      </c>
      <c r="AC387" s="33">
        <f t="shared" si="36"/>
        <v>0</v>
      </c>
    </row>
    <row r="388" spans="1:31">
      <c r="A388" s="34"/>
      <c r="B388" s="34"/>
      <c r="C388" s="34"/>
      <c r="D388" s="34"/>
      <c r="K388" s="17">
        <f t="shared" si="37"/>
        <v>0</v>
      </c>
      <c r="U388" s="17">
        <f t="shared" ref="U388:U395" si="41">Y388-W388-S388</f>
        <v>0</v>
      </c>
      <c r="AA388" s="17">
        <f t="shared" si="35"/>
        <v>0</v>
      </c>
      <c r="AC388" s="33">
        <f t="shared" si="36"/>
        <v>0</v>
      </c>
      <c r="AE388" s="17" t="s">
        <v>545</v>
      </c>
    </row>
    <row r="389" spans="1:31">
      <c r="A389" s="34"/>
      <c r="B389" s="34"/>
      <c r="C389" s="34"/>
      <c r="D389" s="34"/>
      <c r="K389" s="17">
        <f t="shared" si="37"/>
        <v>0</v>
      </c>
      <c r="U389" s="17">
        <f t="shared" si="41"/>
        <v>0</v>
      </c>
      <c r="AA389" s="17">
        <f t="shared" si="35"/>
        <v>0</v>
      </c>
      <c r="AC389" s="33">
        <f t="shared" si="36"/>
        <v>0</v>
      </c>
    </row>
    <row r="390" spans="1:31">
      <c r="A390" s="34"/>
      <c r="B390" s="34"/>
      <c r="C390" s="34"/>
      <c r="D390" s="34"/>
      <c r="K390" s="17">
        <f t="shared" si="37"/>
        <v>0</v>
      </c>
      <c r="U390" s="17">
        <f t="shared" si="41"/>
        <v>0</v>
      </c>
      <c r="AA390" s="17">
        <f t="shared" si="35"/>
        <v>0</v>
      </c>
      <c r="AC390" s="33">
        <f t="shared" ref="AC390:AC453" si="42">+E390+G390+-K390-M390-S390-U390-W390-O390</f>
        <v>0</v>
      </c>
    </row>
    <row r="391" spans="1:31">
      <c r="A391" s="34"/>
      <c r="B391" s="34"/>
      <c r="C391" s="34"/>
      <c r="D391" s="34"/>
      <c r="K391" s="17">
        <f t="shared" si="37"/>
        <v>0</v>
      </c>
      <c r="U391" s="17">
        <f t="shared" si="41"/>
        <v>0</v>
      </c>
      <c r="AA391" s="17">
        <f t="shared" si="35"/>
        <v>0</v>
      </c>
      <c r="AC391" s="33">
        <f t="shared" si="42"/>
        <v>0</v>
      </c>
    </row>
    <row r="392" spans="1:31">
      <c r="A392" s="34"/>
      <c r="B392" s="34"/>
      <c r="C392" s="34"/>
      <c r="D392" s="34"/>
      <c r="K392" s="17">
        <f t="shared" si="37"/>
        <v>0</v>
      </c>
      <c r="U392" s="17">
        <f t="shared" si="41"/>
        <v>0</v>
      </c>
      <c r="AA392" s="17">
        <f t="shared" si="35"/>
        <v>0</v>
      </c>
      <c r="AC392" s="33">
        <f t="shared" si="42"/>
        <v>0</v>
      </c>
    </row>
    <row r="393" spans="1:31">
      <c r="A393" s="30"/>
      <c r="B393" s="30"/>
      <c r="C393" s="30"/>
      <c r="D393" s="30"/>
      <c r="K393" s="17">
        <f t="shared" ref="K393:K395" si="43">+Q393-M393-O393</f>
        <v>0</v>
      </c>
      <c r="U393" s="17">
        <f t="shared" si="41"/>
        <v>0</v>
      </c>
      <c r="AA393" s="17">
        <f t="shared" ref="AA393:AA456" si="44">+I393-Q393-Y393</f>
        <v>0</v>
      </c>
      <c r="AC393" s="17">
        <f t="shared" si="42"/>
        <v>0</v>
      </c>
    </row>
    <row r="394" spans="1:31">
      <c r="A394" s="34"/>
      <c r="B394" s="34"/>
      <c r="C394" s="34"/>
      <c r="D394" s="34"/>
      <c r="K394" s="17">
        <f t="shared" si="43"/>
        <v>0</v>
      </c>
      <c r="U394" s="17">
        <f t="shared" si="41"/>
        <v>0</v>
      </c>
      <c r="AA394" s="17">
        <f t="shared" si="44"/>
        <v>0</v>
      </c>
      <c r="AC394" s="33">
        <f t="shared" si="42"/>
        <v>0</v>
      </c>
    </row>
    <row r="395" spans="1:31">
      <c r="A395" s="34"/>
      <c r="B395" s="34"/>
      <c r="C395" s="34"/>
      <c r="D395" s="34"/>
      <c r="K395" s="17">
        <f t="shared" si="43"/>
        <v>0</v>
      </c>
      <c r="U395" s="17">
        <f t="shared" si="41"/>
        <v>0</v>
      </c>
      <c r="AA395" s="17">
        <f t="shared" si="44"/>
        <v>0</v>
      </c>
      <c r="AC395" s="33">
        <f t="shared" si="42"/>
        <v>0</v>
      </c>
    </row>
    <row r="396" spans="1:31">
      <c r="A396" s="34"/>
      <c r="B396" s="34"/>
      <c r="C396" s="34"/>
      <c r="D396" s="34"/>
      <c r="K396" s="17">
        <f>+Q396-M396-O396</f>
        <v>0</v>
      </c>
      <c r="U396" s="17">
        <f>Y396-W396-S396</f>
        <v>0</v>
      </c>
      <c r="AA396" s="17">
        <f t="shared" si="44"/>
        <v>0</v>
      </c>
      <c r="AC396" s="33">
        <f t="shared" si="42"/>
        <v>0</v>
      </c>
    </row>
    <row r="397" spans="1:31">
      <c r="A397" s="34"/>
      <c r="B397" s="34"/>
      <c r="C397" s="34"/>
      <c r="D397" s="34"/>
      <c r="K397" s="17">
        <f>+Q397-M397-O397</f>
        <v>0</v>
      </c>
      <c r="U397" s="17">
        <f>Y397-W397-S397</f>
        <v>0</v>
      </c>
      <c r="AA397" s="17">
        <f t="shared" si="44"/>
        <v>0</v>
      </c>
      <c r="AC397" s="33">
        <f t="shared" si="42"/>
        <v>0</v>
      </c>
    </row>
    <row r="398" spans="1:31">
      <c r="A398" s="34"/>
      <c r="B398" s="34"/>
      <c r="C398" s="34"/>
      <c r="D398" s="34"/>
      <c r="K398" s="17">
        <f>+Q398-M398-O398</f>
        <v>0</v>
      </c>
      <c r="U398" s="17">
        <f>Y398-W398-S398</f>
        <v>0</v>
      </c>
      <c r="AA398" s="17">
        <f t="shared" si="44"/>
        <v>0</v>
      </c>
      <c r="AC398" s="33">
        <f t="shared" si="42"/>
        <v>0</v>
      </c>
    </row>
    <row r="399" spans="1:31">
      <c r="A399" s="34"/>
      <c r="B399" s="34"/>
      <c r="C399" s="34"/>
      <c r="D399" s="34"/>
      <c r="K399" s="17">
        <f>+Q399-M399-O399</f>
        <v>0</v>
      </c>
      <c r="U399" s="17">
        <f>Y399-W399-S399</f>
        <v>0</v>
      </c>
      <c r="AA399" s="17">
        <f t="shared" si="44"/>
        <v>0</v>
      </c>
      <c r="AC399" s="33">
        <f t="shared" si="42"/>
        <v>0</v>
      </c>
    </row>
    <row r="400" spans="1:31">
      <c r="A400" s="34"/>
      <c r="B400" s="34"/>
      <c r="C400" s="34"/>
      <c r="D400" s="34"/>
      <c r="K400" s="17">
        <f>+Q400-M400-O400</f>
        <v>0</v>
      </c>
      <c r="U400" s="17">
        <f>Y400-W400-S400</f>
        <v>0</v>
      </c>
      <c r="AA400" s="17">
        <f t="shared" si="44"/>
        <v>0</v>
      </c>
      <c r="AC400" s="33">
        <f t="shared" si="42"/>
        <v>0</v>
      </c>
    </row>
    <row r="401" spans="1:29">
      <c r="A401" s="30"/>
      <c r="B401" s="30"/>
      <c r="C401" s="30"/>
      <c r="D401" s="30"/>
      <c r="K401" s="17">
        <f t="shared" ref="K401:K464" si="45">+Q401-M401-O401</f>
        <v>0</v>
      </c>
      <c r="U401" s="17">
        <f t="shared" ref="U401:U464" si="46">Y401-W401-S401</f>
        <v>0</v>
      </c>
      <c r="AA401" s="17">
        <f t="shared" si="44"/>
        <v>0</v>
      </c>
      <c r="AC401" s="17">
        <f t="shared" si="42"/>
        <v>0</v>
      </c>
    </row>
    <row r="404" spans="1:29" s="33" customFormat="1">
      <c r="A404" s="31"/>
      <c r="B404" s="31"/>
      <c r="C404" s="31"/>
      <c r="D404" s="31"/>
      <c r="K404" s="33">
        <f t="shared" ref="K404:K410" si="47">+Q404-M404-O404</f>
        <v>0</v>
      </c>
      <c r="U404" s="33">
        <f t="shared" ref="U404:U410" si="48">Y404-W404-S404</f>
        <v>0</v>
      </c>
      <c r="AA404" s="33">
        <f t="shared" ref="AA404:AA410" si="49">+I404-Q404-Y404</f>
        <v>0</v>
      </c>
      <c r="AC404" s="33">
        <f t="shared" ref="AC404:AC410" si="50">+E404+G404+-K404-M404-S404-U404-W404-O404</f>
        <v>0</v>
      </c>
    </row>
    <row r="405" spans="1:29">
      <c r="A405" s="34"/>
      <c r="B405" s="34"/>
      <c r="C405" s="34"/>
      <c r="D405" s="34"/>
      <c r="K405" s="17">
        <f t="shared" si="47"/>
        <v>0</v>
      </c>
      <c r="U405" s="17">
        <f t="shared" si="48"/>
        <v>0</v>
      </c>
      <c r="AA405" s="17">
        <f t="shared" si="49"/>
        <v>0</v>
      </c>
      <c r="AC405" s="33">
        <f t="shared" si="50"/>
        <v>0</v>
      </c>
    </row>
    <row r="406" spans="1:29">
      <c r="A406" s="34"/>
      <c r="B406" s="34"/>
      <c r="C406" s="34"/>
      <c r="D406" s="34"/>
      <c r="K406" s="17">
        <f t="shared" si="47"/>
        <v>0</v>
      </c>
      <c r="U406" s="17">
        <f t="shared" si="48"/>
        <v>0</v>
      </c>
      <c r="AA406" s="17">
        <f t="shared" si="49"/>
        <v>0</v>
      </c>
      <c r="AC406" s="33">
        <f t="shared" si="50"/>
        <v>0</v>
      </c>
    </row>
    <row r="407" spans="1:29">
      <c r="A407" s="34"/>
      <c r="B407" s="34"/>
      <c r="C407" s="34"/>
      <c r="D407" s="34"/>
      <c r="K407" s="17">
        <f t="shared" si="47"/>
        <v>0</v>
      </c>
      <c r="U407" s="17">
        <f t="shared" si="48"/>
        <v>0</v>
      </c>
      <c r="AA407" s="17">
        <f t="shared" si="49"/>
        <v>0</v>
      </c>
      <c r="AC407" s="33">
        <f t="shared" si="50"/>
        <v>0</v>
      </c>
    </row>
    <row r="408" spans="1:29">
      <c r="A408" s="34"/>
      <c r="B408" s="34"/>
      <c r="C408" s="34"/>
      <c r="D408" s="34"/>
      <c r="K408" s="17">
        <f t="shared" si="47"/>
        <v>0</v>
      </c>
      <c r="U408" s="17">
        <f t="shared" si="48"/>
        <v>0</v>
      </c>
      <c r="AA408" s="17">
        <f t="shared" si="49"/>
        <v>0</v>
      </c>
      <c r="AC408" s="33">
        <f t="shared" si="50"/>
        <v>0</v>
      </c>
    </row>
    <row r="409" spans="1:29">
      <c r="A409" s="34"/>
      <c r="B409" s="34"/>
      <c r="C409" s="34"/>
      <c r="D409" s="34"/>
      <c r="K409" s="17">
        <f t="shared" si="47"/>
        <v>0</v>
      </c>
      <c r="U409" s="17">
        <f t="shared" si="48"/>
        <v>0</v>
      </c>
      <c r="AA409" s="17">
        <f t="shared" si="49"/>
        <v>0</v>
      </c>
      <c r="AC409" s="33">
        <f t="shared" si="50"/>
        <v>0</v>
      </c>
    </row>
    <row r="410" spans="1:29">
      <c r="A410" s="34"/>
      <c r="B410" s="34"/>
      <c r="C410" s="34"/>
      <c r="D410" s="34"/>
      <c r="K410" s="17">
        <f t="shared" si="47"/>
        <v>0</v>
      </c>
      <c r="U410" s="17">
        <f t="shared" si="48"/>
        <v>0</v>
      </c>
      <c r="AA410" s="17">
        <f t="shared" si="49"/>
        <v>0</v>
      </c>
      <c r="AC410" s="33">
        <f t="shared" si="50"/>
        <v>0</v>
      </c>
    </row>
    <row r="411" spans="1:29">
      <c r="A411" s="30"/>
      <c r="B411" s="30"/>
      <c r="C411" s="30"/>
      <c r="D411" s="30"/>
      <c r="K411" s="17">
        <f t="shared" si="45"/>
        <v>0</v>
      </c>
      <c r="U411" s="17">
        <f t="shared" si="46"/>
        <v>0</v>
      </c>
      <c r="AA411" s="17">
        <f t="shared" si="44"/>
        <v>0</v>
      </c>
      <c r="AC411" s="17">
        <f t="shared" si="42"/>
        <v>0</v>
      </c>
    </row>
    <row r="412" spans="1:29">
      <c r="A412" s="34"/>
      <c r="B412" s="34"/>
      <c r="C412" s="34"/>
      <c r="D412" s="34"/>
      <c r="K412" s="17">
        <f t="shared" si="45"/>
        <v>0</v>
      </c>
      <c r="U412" s="17">
        <f t="shared" si="46"/>
        <v>0</v>
      </c>
      <c r="AA412" s="17">
        <f t="shared" si="44"/>
        <v>0</v>
      </c>
      <c r="AC412" s="33">
        <f t="shared" si="42"/>
        <v>0</v>
      </c>
    </row>
    <row r="413" spans="1:29">
      <c r="A413" s="34"/>
      <c r="B413" s="34"/>
      <c r="C413" s="34"/>
      <c r="D413" s="34"/>
      <c r="K413" s="17">
        <f>+Q413-M413-O413</f>
        <v>0</v>
      </c>
      <c r="U413" s="17">
        <f t="shared" si="46"/>
        <v>0</v>
      </c>
      <c r="AA413" s="17">
        <f t="shared" si="44"/>
        <v>0</v>
      </c>
      <c r="AC413" s="33">
        <f t="shared" si="42"/>
        <v>0</v>
      </c>
    </row>
    <row r="414" spans="1:29">
      <c r="A414" s="34"/>
      <c r="B414" s="34"/>
      <c r="C414" s="34"/>
      <c r="D414" s="34"/>
      <c r="K414" s="17">
        <f t="shared" si="45"/>
        <v>0</v>
      </c>
      <c r="U414" s="17">
        <f t="shared" si="46"/>
        <v>0</v>
      </c>
      <c r="AA414" s="17">
        <f t="shared" si="44"/>
        <v>0</v>
      </c>
      <c r="AC414" s="33">
        <f t="shared" si="42"/>
        <v>0</v>
      </c>
    </row>
    <row r="415" spans="1:29">
      <c r="A415" s="34"/>
      <c r="B415" s="34"/>
      <c r="C415" s="34"/>
      <c r="D415" s="34"/>
      <c r="K415" s="17">
        <f t="shared" si="45"/>
        <v>0</v>
      </c>
      <c r="U415" s="17">
        <f t="shared" si="46"/>
        <v>0</v>
      </c>
      <c r="AA415" s="17">
        <f t="shared" si="44"/>
        <v>0</v>
      </c>
      <c r="AC415" s="33">
        <f t="shared" si="42"/>
        <v>0</v>
      </c>
    </row>
    <row r="416" spans="1:29">
      <c r="A416" s="34"/>
      <c r="B416" s="34"/>
      <c r="C416" s="34"/>
      <c r="D416" s="34"/>
      <c r="K416" s="17">
        <f t="shared" si="45"/>
        <v>0</v>
      </c>
      <c r="U416" s="17">
        <f t="shared" si="46"/>
        <v>0</v>
      </c>
      <c r="AA416" s="17">
        <f t="shared" si="44"/>
        <v>0</v>
      </c>
      <c r="AC416" s="33">
        <f t="shared" si="42"/>
        <v>0</v>
      </c>
    </row>
    <row r="417" spans="1:29">
      <c r="A417" s="34"/>
      <c r="B417" s="34"/>
      <c r="C417" s="34"/>
      <c r="D417" s="34"/>
      <c r="K417" s="17">
        <f t="shared" si="45"/>
        <v>0</v>
      </c>
      <c r="U417" s="17">
        <f t="shared" si="46"/>
        <v>0</v>
      </c>
      <c r="AA417" s="17">
        <f t="shared" si="44"/>
        <v>0</v>
      </c>
      <c r="AC417" s="33">
        <f t="shared" si="42"/>
        <v>0</v>
      </c>
    </row>
    <row r="418" spans="1:29">
      <c r="A418" s="34"/>
      <c r="B418" s="34"/>
      <c r="C418" s="34"/>
      <c r="D418" s="34"/>
      <c r="K418" s="17">
        <f t="shared" si="45"/>
        <v>0</v>
      </c>
      <c r="U418" s="17">
        <f t="shared" si="46"/>
        <v>0</v>
      </c>
      <c r="AA418" s="17">
        <f t="shared" si="44"/>
        <v>0</v>
      </c>
      <c r="AC418" s="33">
        <f t="shared" si="42"/>
        <v>0</v>
      </c>
    </row>
    <row r="419" spans="1:29">
      <c r="A419" s="34"/>
      <c r="B419" s="34"/>
      <c r="C419" s="34"/>
      <c r="D419" s="34"/>
      <c r="K419" s="17">
        <f t="shared" si="45"/>
        <v>0</v>
      </c>
      <c r="U419" s="17">
        <f t="shared" si="46"/>
        <v>0</v>
      </c>
      <c r="AA419" s="17">
        <f t="shared" si="44"/>
        <v>0</v>
      </c>
      <c r="AC419" s="33">
        <f t="shared" si="42"/>
        <v>0</v>
      </c>
    </row>
    <row r="420" spans="1:29">
      <c r="A420" s="34"/>
      <c r="B420" s="34"/>
      <c r="C420" s="34"/>
      <c r="D420" s="34"/>
      <c r="K420" s="17">
        <f t="shared" si="45"/>
        <v>0</v>
      </c>
      <c r="U420" s="17">
        <f t="shared" si="46"/>
        <v>0</v>
      </c>
      <c r="AA420" s="17">
        <f t="shared" si="44"/>
        <v>0</v>
      </c>
      <c r="AC420" s="33">
        <f t="shared" si="42"/>
        <v>0</v>
      </c>
    </row>
    <row r="421" spans="1:29">
      <c r="A421" s="34"/>
      <c r="B421" s="34"/>
      <c r="C421" s="34"/>
      <c r="D421" s="34"/>
      <c r="K421" s="17">
        <f t="shared" si="45"/>
        <v>0</v>
      </c>
      <c r="U421" s="17">
        <f t="shared" si="46"/>
        <v>0</v>
      </c>
      <c r="AA421" s="17">
        <f t="shared" si="44"/>
        <v>0</v>
      </c>
      <c r="AC421" s="33">
        <f t="shared" si="42"/>
        <v>0</v>
      </c>
    </row>
    <row r="422" spans="1:29">
      <c r="A422" s="34"/>
      <c r="B422" s="34"/>
      <c r="C422" s="34"/>
      <c r="D422" s="34"/>
      <c r="K422" s="17">
        <f t="shared" si="45"/>
        <v>0</v>
      </c>
      <c r="U422" s="17">
        <f t="shared" si="46"/>
        <v>0</v>
      </c>
      <c r="AA422" s="17">
        <f t="shared" si="44"/>
        <v>0</v>
      </c>
      <c r="AC422" s="33">
        <f t="shared" si="42"/>
        <v>0</v>
      </c>
    </row>
    <row r="423" spans="1:29">
      <c r="A423" s="34"/>
      <c r="B423" s="34"/>
      <c r="C423" s="34"/>
      <c r="D423" s="34"/>
      <c r="K423" s="17">
        <f t="shared" si="45"/>
        <v>0</v>
      </c>
      <c r="U423" s="17">
        <f t="shared" si="46"/>
        <v>0</v>
      </c>
      <c r="AA423" s="17">
        <f t="shared" si="44"/>
        <v>0</v>
      </c>
      <c r="AC423" s="33">
        <f t="shared" si="42"/>
        <v>0</v>
      </c>
    </row>
    <row r="424" spans="1:29">
      <c r="A424" s="34"/>
      <c r="B424" s="34"/>
      <c r="C424" s="34"/>
      <c r="D424" s="34"/>
      <c r="K424" s="17">
        <f t="shared" si="45"/>
        <v>0</v>
      </c>
      <c r="U424" s="17">
        <f t="shared" si="46"/>
        <v>0</v>
      </c>
      <c r="AA424" s="17">
        <f t="shared" si="44"/>
        <v>0</v>
      </c>
      <c r="AC424" s="33">
        <f t="shared" si="42"/>
        <v>0</v>
      </c>
    </row>
    <row r="425" spans="1:29">
      <c r="A425" s="34"/>
      <c r="B425" s="34"/>
      <c r="C425" s="34"/>
      <c r="D425" s="34"/>
      <c r="K425" s="17">
        <f t="shared" si="45"/>
        <v>0</v>
      </c>
      <c r="U425" s="17">
        <f t="shared" si="46"/>
        <v>0</v>
      </c>
      <c r="AA425" s="17">
        <f t="shared" si="44"/>
        <v>0</v>
      </c>
      <c r="AC425" s="33">
        <f t="shared" si="42"/>
        <v>0</v>
      </c>
    </row>
    <row r="426" spans="1:29">
      <c r="A426" s="34"/>
      <c r="B426" s="34"/>
      <c r="C426" s="34"/>
      <c r="D426" s="34"/>
      <c r="K426" s="17">
        <f t="shared" si="45"/>
        <v>0</v>
      </c>
      <c r="U426" s="17">
        <f t="shared" si="46"/>
        <v>0</v>
      </c>
      <c r="AA426" s="17">
        <f t="shared" si="44"/>
        <v>0</v>
      </c>
      <c r="AC426" s="33">
        <f t="shared" si="42"/>
        <v>0</v>
      </c>
    </row>
    <row r="427" spans="1:29">
      <c r="A427" s="34"/>
      <c r="B427" s="34"/>
      <c r="C427" s="34"/>
      <c r="D427" s="34"/>
      <c r="K427" s="17">
        <f t="shared" si="45"/>
        <v>0</v>
      </c>
      <c r="U427" s="17">
        <f t="shared" si="46"/>
        <v>0</v>
      </c>
      <c r="AA427" s="17">
        <f t="shared" si="44"/>
        <v>0</v>
      </c>
      <c r="AC427" s="33">
        <f t="shared" si="42"/>
        <v>0</v>
      </c>
    </row>
    <row r="428" spans="1:29">
      <c r="A428" s="34"/>
      <c r="B428" s="34"/>
      <c r="C428" s="34"/>
      <c r="D428" s="34"/>
      <c r="K428" s="17">
        <f t="shared" si="45"/>
        <v>0</v>
      </c>
      <c r="U428" s="17">
        <f t="shared" si="46"/>
        <v>0</v>
      </c>
      <c r="AA428" s="17">
        <f t="shared" si="44"/>
        <v>0</v>
      </c>
      <c r="AC428" s="33">
        <f t="shared" si="42"/>
        <v>0</v>
      </c>
    </row>
    <row r="429" spans="1:29">
      <c r="A429" s="34"/>
      <c r="B429" s="34"/>
      <c r="C429" s="34"/>
      <c r="D429" s="34"/>
      <c r="K429" s="17">
        <f t="shared" si="45"/>
        <v>0</v>
      </c>
      <c r="U429" s="17">
        <f t="shared" si="46"/>
        <v>0</v>
      </c>
      <c r="AA429" s="17">
        <f t="shared" si="44"/>
        <v>0</v>
      </c>
      <c r="AC429" s="33">
        <f t="shared" si="42"/>
        <v>0</v>
      </c>
    </row>
    <row r="430" spans="1:29">
      <c r="A430" s="34"/>
      <c r="B430" s="34"/>
      <c r="C430" s="34"/>
      <c r="D430" s="34"/>
      <c r="K430" s="17">
        <f t="shared" si="45"/>
        <v>0</v>
      </c>
      <c r="U430" s="17">
        <f t="shared" si="46"/>
        <v>0</v>
      </c>
      <c r="AA430" s="17">
        <f t="shared" si="44"/>
        <v>0</v>
      </c>
      <c r="AC430" s="33">
        <f t="shared" si="42"/>
        <v>0</v>
      </c>
    </row>
    <row r="431" spans="1:29">
      <c r="A431" s="34"/>
      <c r="B431" s="34"/>
      <c r="C431" s="34"/>
      <c r="D431" s="34"/>
      <c r="K431" s="17">
        <f t="shared" si="45"/>
        <v>0</v>
      </c>
      <c r="U431" s="17">
        <f t="shared" si="46"/>
        <v>0</v>
      </c>
      <c r="AA431" s="17">
        <f t="shared" si="44"/>
        <v>0</v>
      </c>
      <c r="AC431" s="33">
        <f t="shared" si="42"/>
        <v>0</v>
      </c>
    </row>
    <row r="432" spans="1:29">
      <c r="A432" s="34"/>
      <c r="B432" s="34"/>
      <c r="C432" s="34"/>
      <c r="D432" s="34"/>
      <c r="K432" s="17">
        <f t="shared" si="45"/>
        <v>0</v>
      </c>
      <c r="U432" s="17">
        <f t="shared" si="46"/>
        <v>0</v>
      </c>
      <c r="AA432" s="17">
        <f t="shared" si="44"/>
        <v>0</v>
      </c>
      <c r="AC432" s="33">
        <f t="shared" si="42"/>
        <v>0</v>
      </c>
    </row>
    <row r="433" spans="1:29">
      <c r="A433" s="34"/>
      <c r="B433" s="34"/>
      <c r="C433" s="34"/>
      <c r="D433" s="34"/>
      <c r="K433" s="17">
        <f t="shared" si="45"/>
        <v>0</v>
      </c>
      <c r="U433" s="17">
        <f t="shared" si="46"/>
        <v>0</v>
      </c>
      <c r="AA433" s="17">
        <f t="shared" si="44"/>
        <v>0</v>
      </c>
      <c r="AC433" s="33">
        <f t="shared" si="42"/>
        <v>0</v>
      </c>
    </row>
    <row r="434" spans="1:29">
      <c r="A434" s="34"/>
      <c r="B434" s="34"/>
      <c r="C434" s="34"/>
      <c r="D434" s="34"/>
      <c r="K434" s="17">
        <f t="shared" si="45"/>
        <v>0</v>
      </c>
      <c r="U434" s="17">
        <f t="shared" si="46"/>
        <v>0</v>
      </c>
      <c r="AA434" s="17">
        <f t="shared" si="44"/>
        <v>0</v>
      </c>
      <c r="AC434" s="33">
        <f t="shared" si="42"/>
        <v>0</v>
      </c>
    </row>
    <row r="435" spans="1:29">
      <c r="A435" s="34"/>
      <c r="B435" s="34"/>
      <c r="C435" s="34"/>
      <c r="D435" s="34"/>
      <c r="K435" s="17">
        <f t="shared" si="45"/>
        <v>0</v>
      </c>
      <c r="U435" s="17">
        <f t="shared" si="46"/>
        <v>0</v>
      </c>
      <c r="AA435" s="17">
        <f>+I435-Q435-Y435</f>
        <v>0</v>
      </c>
      <c r="AC435" s="33">
        <f t="shared" si="42"/>
        <v>0</v>
      </c>
    </row>
    <row r="436" spans="1:29">
      <c r="A436" s="34"/>
      <c r="B436" s="34"/>
      <c r="C436" s="34"/>
      <c r="D436" s="34"/>
      <c r="K436" s="17">
        <f t="shared" si="45"/>
        <v>0</v>
      </c>
      <c r="U436" s="17">
        <f t="shared" si="46"/>
        <v>0</v>
      </c>
      <c r="AA436" s="17">
        <f t="shared" si="44"/>
        <v>0</v>
      </c>
      <c r="AC436" s="33">
        <f t="shared" si="42"/>
        <v>0</v>
      </c>
    </row>
    <row r="437" spans="1:29">
      <c r="A437" s="34"/>
      <c r="B437" s="34"/>
      <c r="C437" s="34"/>
      <c r="D437" s="34"/>
      <c r="K437" s="17">
        <f t="shared" si="45"/>
        <v>0</v>
      </c>
      <c r="U437" s="17">
        <f t="shared" si="46"/>
        <v>0</v>
      </c>
      <c r="AA437" s="17">
        <f>+I437-Q437-Y437</f>
        <v>0</v>
      </c>
      <c r="AC437" s="33">
        <f t="shared" si="42"/>
        <v>0</v>
      </c>
    </row>
    <row r="438" spans="1:29">
      <c r="A438" s="34"/>
      <c r="B438" s="34"/>
      <c r="C438" s="34"/>
      <c r="D438" s="34"/>
      <c r="K438" s="17">
        <f t="shared" si="45"/>
        <v>0</v>
      </c>
      <c r="U438" s="17">
        <f t="shared" si="46"/>
        <v>0</v>
      </c>
      <c r="AA438" s="17">
        <f t="shared" si="44"/>
        <v>0</v>
      </c>
      <c r="AC438" s="33">
        <f t="shared" si="42"/>
        <v>0</v>
      </c>
    </row>
    <row r="439" spans="1:29">
      <c r="A439" s="34"/>
      <c r="B439" s="34"/>
      <c r="C439" s="34"/>
      <c r="D439" s="34"/>
      <c r="K439" s="17">
        <f t="shared" si="45"/>
        <v>0</v>
      </c>
      <c r="U439" s="17">
        <f t="shared" si="46"/>
        <v>0</v>
      </c>
      <c r="AA439" s="17">
        <f t="shared" si="44"/>
        <v>0</v>
      </c>
      <c r="AC439" s="33">
        <f t="shared" si="42"/>
        <v>0</v>
      </c>
    </row>
    <row r="440" spans="1:29">
      <c r="A440" s="34"/>
      <c r="B440" s="34"/>
      <c r="C440" s="34"/>
      <c r="D440" s="34"/>
      <c r="K440" s="17">
        <f t="shared" si="45"/>
        <v>0</v>
      </c>
      <c r="U440" s="17">
        <f t="shared" si="46"/>
        <v>0</v>
      </c>
      <c r="AA440" s="17">
        <f>+I440-Q440-Y440</f>
        <v>0</v>
      </c>
      <c r="AC440" s="33">
        <f t="shared" si="42"/>
        <v>0</v>
      </c>
    </row>
    <row r="441" spans="1:29">
      <c r="A441" s="34"/>
      <c r="B441" s="34"/>
      <c r="C441" s="34"/>
      <c r="D441" s="34"/>
      <c r="K441" s="17">
        <f t="shared" si="45"/>
        <v>0</v>
      </c>
      <c r="U441" s="17">
        <f t="shared" si="46"/>
        <v>0</v>
      </c>
      <c r="AA441" s="17">
        <f t="shared" si="44"/>
        <v>0</v>
      </c>
      <c r="AC441" s="33">
        <f t="shared" si="42"/>
        <v>0</v>
      </c>
    </row>
    <row r="442" spans="1:29">
      <c r="A442" s="34"/>
      <c r="B442" s="34"/>
      <c r="C442" s="34"/>
      <c r="D442" s="34"/>
      <c r="K442" s="17">
        <f t="shared" si="45"/>
        <v>0</v>
      </c>
      <c r="U442" s="17">
        <f t="shared" si="46"/>
        <v>0</v>
      </c>
      <c r="AA442" s="17">
        <f t="shared" si="44"/>
        <v>0</v>
      </c>
      <c r="AC442" s="33">
        <f t="shared" si="42"/>
        <v>0</v>
      </c>
    </row>
    <row r="443" spans="1:29">
      <c r="A443" s="34"/>
      <c r="B443" s="34"/>
      <c r="C443" s="34"/>
      <c r="D443" s="34"/>
      <c r="K443" s="17">
        <f t="shared" si="45"/>
        <v>0</v>
      </c>
      <c r="U443" s="17">
        <f t="shared" si="46"/>
        <v>0</v>
      </c>
      <c r="AA443" s="17">
        <f t="shared" si="44"/>
        <v>0</v>
      </c>
      <c r="AC443" s="33">
        <f t="shared" si="42"/>
        <v>0</v>
      </c>
    </row>
    <row r="444" spans="1:29">
      <c r="A444" s="34"/>
      <c r="B444" s="34"/>
      <c r="C444" s="34"/>
      <c r="D444" s="34"/>
      <c r="K444" s="17">
        <f t="shared" si="45"/>
        <v>0</v>
      </c>
      <c r="U444" s="17">
        <f t="shared" si="46"/>
        <v>0</v>
      </c>
      <c r="AA444" s="17">
        <f t="shared" si="44"/>
        <v>0</v>
      </c>
      <c r="AC444" s="33">
        <f t="shared" si="42"/>
        <v>0</v>
      </c>
    </row>
    <row r="445" spans="1:29">
      <c r="A445" s="34"/>
      <c r="B445" s="34"/>
      <c r="C445" s="34"/>
      <c r="D445" s="34"/>
      <c r="K445" s="17">
        <f t="shared" si="45"/>
        <v>0</v>
      </c>
      <c r="U445" s="17">
        <f t="shared" si="46"/>
        <v>0</v>
      </c>
      <c r="AA445" s="17">
        <f t="shared" si="44"/>
        <v>0</v>
      </c>
      <c r="AC445" s="33">
        <f t="shared" si="42"/>
        <v>0</v>
      </c>
    </row>
    <row r="446" spans="1:29">
      <c r="A446" s="34"/>
      <c r="B446" s="34"/>
      <c r="C446" s="34"/>
      <c r="D446" s="34"/>
      <c r="K446" s="17">
        <f t="shared" si="45"/>
        <v>0</v>
      </c>
      <c r="U446" s="17">
        <f t="shared" si="46"/>
        <v>0</v>
      </c>
      <c r="AA446" s="17">
        <f t="shared" si="44"/>
        <v>0</v>
      </c>
      <c r="AC446" s="33">
        <f t="shared" si="42"/>
        <v>0</v>
      </c>
    </row>
    <row r="447" spans="1:29">
      <c r="A447" s="34"/>
      <c r="B447" s="34"/>
      <c r="C447" s="34"/>
      <c r="D447" s="34"/>
      <c r="K447" s="17">
        <f t="shared" si="45"/>
        <v>0</v>
      </c>
      <c r="U447" s="17">
        <f t="shared" si="46"/>
        <v>0</v>
      </c>
      <c r="AA447" s="17">
        <f t="shared" si="44"/>
        <v>0</v>
      </c>
      <c r="AC447" s="33">
        <f t="shared" si="42"/>
        <v>0</v>
      </c>
    </row>
    <row r="448" spans="1:29">
      <c r="A448" s="34"/>
      <c r="B448" s="34"/>
      <c r="C448" s="34"/>
      <c r="D448" s="34"/>
      <c r="K448" s="17">
        <f t="shared" si="45"/>
        <v>0</v>
      </c>
      <c r="U448" s="17">
        <f t="shared" si="46"/>
        <v>0</v>
      </c>
      <c r="AA448" s="17">
        <f t="shared" si="44"/>
        <v>0</v>
      </c>
      <c r="AC448" s="33">
        <f t="shared" si="42"/>
        <v>0</v>
      </c>
    </row>
    <row r="449" spans="1:29">
      <c r="A449" s="34"/>
      <c r="B449" s="34"/>
      <c r="C449" s="30"/>
      <c r="D449" s="34"/>
      <c r="K449" s="17">
        <f t="shared" si="45"/>
        <v>0</v>
      </c>
      <c r="U449" s="17">
        <f t="shared" si="46"/>
        <v>0</v>
      </c>
      <c r="AA449" s="17">
        <f>+I449-Q449-Y449</f>
        <v>0</v>
      </c>
      <c r="AC449" s="33">
        <f t="shared" si="42"/>
        <v>0</v>
      </c>
    </row>
    <row r="450" spans="1:29">
      <c r="A450" s="34"/>
      <c r="B450" s="34"/>
      <c r="C450" s="34"/>
      <c r="D450" s="34"/>
      <c r="K450" s="17">
        <f t="shared" si="45"/>
        <v>0</v>
      </c>
      <c r="U450" s="17">
        <f t="shared" si="46"/>
        <v>0</v>
      </c>
      <c r="AA450" s="17">
        <f t="shared" si="44"/>
        <v>0</v>
      </c>
      <c r="AC450" s="33">
        <f t="shared" si="42"/>
        <v>0</v>
      </c>
    </row>
    <row r="451" spans="1:29">
      <c r="A451" s="34"/>
      <c r="B451" s="34"/>
      <c r="C451" s="34"/>
      <c r="D451" s="34"/>
      <c r="K451" s="17">
        <f t="shared" si="45"/>
        <v>0</v>
      </c>
      <c r="U451" s="17">
        <f t="shared" si="46"/>
        <v>0</v>
      </c>
      <c r="AA451" s="17">
        <f>+I451-Q451-Y451</f>
        <v>0</v>
      </c>
      <c r="AC451" s="33">
        <f t="shared" si="42"/>
        <v>0</v>
      </c>
    </row>
    <row r="452" spans="1:29">
      <c r="A452" s="34"/>
      <c r="B452" s="34"/>
      <c r="C452" s="34"/>
      <c r="D452" s="34"/>
      <c r="K452" s="17">
        <f t="shared" si="45"/>
        <v>0</v>
      </c>
      <c r="U452" s="17">
        <f t="shared" si="46"/>
        <v>0</v>
      </c>
      <c r="AA452" s="17">
        <f t="shared" si="44"/>
        <v>0</v>
      </c>
      <c r="AC452" s="33">
        <f t="shared" si="42"/>
        <v>0</v>
      </c>
    </row>
    <row r="453" spans="1:29">
      <c r="A453" s="34"/>
      <c r="B453" s="34"/>
      <c r="C453" s="34"/>
      <c r="D453" s="34"/>
      <c r="K453" s="17">
        <f t="shared" si="45"/>
        <v>0</v>
      </c>
      <c r="U453" s="17">
        <f t="shared" si="46"/>
        <v>0</v>
      </c>
      <c r="AA453" s="17">
        <f t="shared" si="44"/>
        <v>0</v>
      </c>
      <c r="AC453" s="33">
        <f t="shared" si="42"/>
        <v>0</v>
      </c>
    </row>
    <row r="454" spans="1:29">
      <c r="A454" s="34"/>
      <c r="B454" s="34"/>
      <c r="C454" s="34"/>
      <c r="D454" s="34"/>
      <c r="K454" s="17">
        <f t="shared" si="45"/>
        <v>0</v>
      </c>
      <c r="U454" s="17">
        <f t="shared" si="46"/>
        <v>0</v>
      </c>
      <c r="AA454" s="17">
        <f t="shared" si="44"/>
        <v>0</v>
      </c>
      <c r="AC454" s="33">
        <f t="shared" ref="AC454:AC520" si="51">+E454+G454+-K454-M454-S454-U454-W454-O454</f>
        <v>0</v>
      </c>
    </row>
    <row r="455" spans="1:29">
      <c r="A455" s="34"/>
      <c r="B455" s="34"/>
      <c r="C455" s="34"/>
      <c r="D455" s="34"/>
      <c r="K455" s="17">
        <f t="shared" si="45"/>
        <v>0</v>
      </c>
      <c r="U455" s="17">
        <f t="shared" si="46"/>
        <v>0</v>
      </c>
      <c r="AA455" s="17">
        <f t="shared" si="44"/>
        <v>0</v>
      </c>
      <c r="AC455" s="33">
        <f t="shared" si="51"/>
        <v>0</v>
      </c>
    </row>
    <row r="456" spans="1:29">
      <c r="A456" s="34"/>
      <c r="B456" s="34"/>
      <c r="C456" s="34"/>
      <c r="D456" s="34"/>
      <c r="K456" s="17">
        <f t="shared" si="45"/>
        <v>0</v>
      </c>
      <c r="U456" s="17">
        <f t="shared" si="46"/>
        <v>0</v>
      </c>
      <c r="AA456" s="17">
        <f t="shared" si="44"/>
        <v>0</v>
      </c>
      <c r="AC456" s="33">
        <f t="shared" si="51"/>
        <v>0</v>
      </c>
    </row>
    <row r="457" spans="1:29">
      <c r="A457" s="34"/>
      <c r="B457" s="34"/>
      <c r="C457" s="34"/>
      <c r="D457" s="34"/>
      <c r="K457" s="17">
        <f>+Q457-M457-O457</f>
        <v>0</v>
      </c>
      <c r="U457" s="17">
        <f>Y457-W457-S457</f>
        <v>0</v>
      </c>
      <c r="AA457" s="17">
        <f t="shared" ref="AA457:AA523" si="52">+I457-Q457-Y457</f>
        <v>0</v>
      </c>
      <c r="AC457" s="33">
        <f t="shared" si="51"/>
        <v>0</v>
      </c>
    </row>
    <row r="458" spans="1:29">
      <c r="A458" s="34"/>
      <c r="B458" s="34"/>
      <c r="C458" s="34"/>
      <c r="D458" s="34"/>
      <c r="K458" s="17">
        <f t="shared" si="45"/>
        <v>0</v>
      </c>
      <c r="U458" s="17">
        <f t="shared" si="46"/>
        <v>0</v>
      </c>
      <c r="AA458" s="17">
        <f>+I458-Q458-Y458</f>
        <v>0</v>
      </c>
      <c r="AC458" s="33">
        <f>+E458+G458+-K458-M458-S458-U458-W458-O458</f>
        <v>0</v>
      </c>
    </row>
    <row r="459" spans="1:29">
      <c r="A459" s="34"/>
      <c r="B459" s="34"/>
      <c r="C459" s="34"/>
      <c r="D459" s="34"/>
      <c r="K459" s="17">
        <f t="shared" si="45"/>
        <v>0</v>
      </c>
      <c r="U459" s="17">
        <f t="shared" si="46"/>
        <v>0</v>
      </c>
      <c r="AA459" s="17">
        <f t="shared" si="52"/>
        <v>0</v>
      </c>
      <c r="AC459" s="33">
        <f t="shared" si="51"/>
        <v>0</v>
      </c>
    </row>
    <row r="460" spans="1:29">
      <c r="A460" s="34"/>
      <c r="B460" s="34"/>
      <c r="C460" s="34"/>
      <c r="D460" s="34"/>
      <c r="K460" s="17">
        <f t="shared" si="45"/>
        <v>0</v>
      </c>
      <c r="U460" s="17">
        <f t="shared" si="46"/>
        <v>0</v>
      </c>
      <c r="AA460" s="17">
        <f t="shared" si="52"/>
        <v>0</v>
      </c>
      <c r="AC460" s="33">
        <f t="shared" si="51"/>
        <v>0</v>
      </c>
    </row>
    <row r="461" spans="1:29">
      <c r="A461" s="34"/>
      <c r="B461" s="34"/>
      <c r="C461" s="34"/>
      <c r="D461" s="34"/>
      <c r="K461" s="17">
        <f t="shared" si="45"/>
        <v>0</v>
      </c>
      <c r="U461" s="17">
        <f t="shared" si="46"/>
        <v>0</v>
      </c>
      <c r="AA461" s="17">
        <f t="shared" si="52"/>
        <v>0</v>
      </c>
      <c r="AC461" s="33">
        <f t="shared" si="51"/>
        <v>0</v>
      </c>
    </row>
    <row r="462" spans="1:29">
      <c r="A462" s="34"/>
      <c r="B462" s="34"/>
      <c r="C462" s="34"/>
      <c r="D462" s="34"/>
      <c r="K462" s="17">
        <f t="shared" si="45"/>
        <v>0</v>
      </c>
      <c r="U462" s="17">
        <f t="shared" si="46"/>
        <v>0</v>
      </c>
      <c r="AA462" s="17">
        <f t="shared" si="52"/>
        <v>0</v>
      </c>
      <c r="AC462" s="33">
        <f t="shared" si="51"/>
        <v>0</v>
      </c>
    </row>
    <row r="463" spans="1:29">
      <c r="A463" s="34"/>
      <c r="B463" s="34"/>
      <c r="C463" s="34"/>
      <c r="D463" s="34"/>
      <c r="K463" s="17">
        <f t="shared" si="45"/>
        <v>0</v>
      </c>
      <c r="U463" s="17">
        <f t="shared" si="46"/>
        <v>0</v>
      </c>
      <c r="AA463" s="17">
        <f t="shared" si="52"/>
        <v>0</v>
      </c>
      <c r="AC463" s="33">
        <f t="shared" si="51"/>
        <v>0</v>
      </c>
    </row>
    <row r="464" spans="1:29">
      <c r="A464" s="34"/>
      <c r="B464" s="34"/>
      <c r="C464" s="34"/>
      <c r="D464" s="34"/>
      <c r="K464" s="17">
        <f t="shared" si="45"/>
        <v>0</v>
      </c>
      <c r="U464" s="17">
        <f t="shared" si="46"/>
        <v>0</v>
      </c>
      <c r="AA464" s="17">
        <f t="shared" si="52"/>
        <v>0</v>
      </c>
      <c r="AC464" s="33">
        <f t="shared" si="51"/>
        <v>0</v>
      </c>
    </row>
    <row r="465" spans="1:29">
      <c r="A465" s="34"/>
      <c r="B465" s="34"/>
      <c r="C465" s="34"/>
      <c r="D465" s="34"/>
      <c r="K465" s="17">
        <f t="shared" ref="K465:K528" si="53">+Q465-M465-O465</f>
        <v>0</v>
      </c>
      <c r="U465" s="17">
        <f t="shared" ref="U465:U528" si="54">Y465-W465-S465</f>
        <v>0</v>
      </c>
      <c r="AA465" s="17">
        <f>+I465-Q465-Y465</f>
        <v>0</v>
      </c>
      <c r="AC465" s="33">
        <f t="shared" si="51"/>
        <v>0</v>
      </c>
    </row>
    <row r="466" spans="1:29">
      <c r="A466" s="34"/>
      <c r="B466" s="34"/>
      <c r="C466" s="34"/>
      <c r="D466" s="34"/>
      <c r="K466" s="17">
        <f t="shared" si="53"/>
        <v>0</v>
      </c>
      <c r="U466" s="17">
        <f t="shared" si="54"/>
        <v>0</v>
      </c>
      <c r="AA466" s="17">
        <f t="shared" si="52"/>
        <v>0</v>
      </c>
      <c r="AC466" s="33">
        <f t="shared" si="51"/>
        <v>0</v>
      </c>
    </row>
    <row r="467" spans="1:29">
      <c r="A467" s="34"/>
      <c r="B467" s="34"/>
      <c r="C467" s="34"/>
      <c r="D467" s="34"/>
      <c r="K467" s="17">
        <f t="shared" si="53"/>
        <v>0</v>
      </c>
      <c r="U467" s="17">
        <f t="shared" si="54"/>
        <v>0</v>
      </c>
      <c r="AA467" s="17">
        <f t="shared" si="52"/>
        <v>0</v>
      </c>
      <c r="AC467" s="33">
        <f t="shared" si="51"/>
        <v>0</v>
      </c>
    </row>
    <row r="468" spans="1:29">
      <c r="A468" s="30"/>
      <c r="B468" s="30"/>
      <c r="C468" s="30"/>
      <c r="D468" s="30"/>
      <c r="K468" s="17">
        <f t="shared" si="53"/>
        <v>0</v>
      </c>
      <c r="U468" s="17">
        <f t="shared" si="54"/>
        <v>0</v>
      </c>
      <c r="AA468" s="17">
        <f t="shared" si="52"/>
        <v>0</v>
      </c>
      <c r="AC468" s="17">
        <f t="shared" si="51"/>
        <v>0</v>
      </c>
    </row>
    <row r="469" spans="1:29">
      <c r="A469" s="30"/>
      <c r="B469" s="30"/>
      <c r="C469" s="30"/>
      <c r="D469" s="30"/>
    </row>
    <row r="470" spans="1:29">
      <c r="A470" s="30"/>
      <c r="B470" s="30"/>
      <c r="C470" s="30"/>
      <c r="D470" s="30"/>
    </row>
    <row r="471" spans="1:29" s="33" customFormat="1">
      <c r="A471" s="31"/>
      <c r="B471" s="31"/>
      <c r="C471" s="31"/>
      <c r="D471" s="31"/>
      <c r="K471" s="33">
        <f t="shared" si="53"/>
        <v>0</v>
      </c>
      <c r="U471" s="33">
        <f t="shared" si="54"/>
        <v>0</v>
      </c>
      <c r="AA471" s="33">
        <f t="shared" si="52"/>
        <v>0</v>
      </c>
      <c r="AC471" s="33">
        <f t="shared" si="51"/>
        <v>0</v>
      </c>
    </row>
    <row r="472" spans="1:29">
      <c r="A472" s="34"/>
      <c r="B472" s="34"/>
      <c r="C472" s="34"/>
      <c r="D472" s="34"/>
      <c r="K472" s="17">
        <f t="shared" si="53"/>
        <v>0</v>
      </c>
      <c r="U472" s="17">
        <f t="shared" si="54"/>
        <v>0</v>
      </c>
      <c r="AA472" s="17">
        <f t="shared" si="52"/>
        <v>0</v>
      </c>
      <c r="AC472" s="33">
        <f t="shared" si="51"/>
        <v>0</v>
      </c>
    </row>
    <row r="473" spans="1:29">
      <c r="A473" s="34"/>
      <c r="B473" s="34"/>
      <c r="C473" s="34"/>
      <c r="D473" s="34"/>
      <c r="K473" s="17">
        <f t="shared" si="53"/>
        <v>0</v>
      </c>
      <c r="U473" s="17">
        <f t="shared" si="54"/>
        <v>0</v>
      </c>
      <c r="AA473" s="17">
        <f t="shared" si="52"/>
        <v>0</v>
      </c>
      <c r="AC473" s="33">
        <f t="shared" si="51"/>
        <v>0</v>
      </c>
    </row>
    <row r="474" spans="1:29">
      <c r="A474" s="34"/>
      <c r="B474" s="34"/>
      <c r="C474" s="34"/>
      <c r="D474" s="34"/>
      <c r="K474" s="17">
        <f t="shared" si="53"/>
        <v>0</v>
      </c>
      <c r="U474" s="17">
        <f t="shared" si="54"/>
        <v>0</v>
      </c>
      <c r="AA474" s="17">
        <f t="shared" si="52"/>
        <v>0</v>
      </c>
      <c r="AC474" s="33">
        <f t="shared" si="51"/>
        <v>0</v>
      </c>
    </row>
    <row r="475" spans="1:29">
      <c r="A475" s="34"/>
      <c r="B475" s="34"/>
      <c r="C475" s="34"/>
      <c r="D475" s="34"/>
      <c r="K475" s="17">
        <f t="shared" si="53"/>
        <v>0</v>
      </c>
      <c r="U475" s="17">
        <f t="shared" si="54"/>
        <v>0</v>
      </c>
      <c r="AA475" s="17">
        <f t="shared" si="52"/>
        <v>0</v>
      </c>
      <c r="AC475" s="33">
        <f t="shared" si="51"/>
        <v>0</v>
      </c>
    </row>
    <row r="476" spans="1:29">
      <c r="A476" s="34"/>
      <c r="B476" s="34"/>
      <c r="C476" s="34"/>
      <c r="D476" s="34"/>
      <c r="K476" s="17">
        <f t="shared" si="53"/>
        <v>0</v>
      </c>
      <c r="U476" s="17">
        <f t="shared" si="54"/>
        <v>0</v>
      </c>
      <c r="AA476" s="17">
        <f t="shared" si="52"/>
        <v>0</v>
      </c>
      <c r="AC476" s="33">
        <f t="shared" si="51"/>
        <v>0</v>
      </c>
    </row>
    <row r="477" spans="1:29">
      <c r="A477" s="34"/>
      <c r="B477" s="34"/>
      <c r="C477" s="34"/>
      <c r="D477" s="34"/>
      <c r="K477" s="17">
        <f t="shared" si="53"/>
        <v>0</v>
      </c>
      <c r="U477" s="17">
        <f t="shared" si="54"/>
        <v>0</v>
      </c>
      <c r="AA477" s="17">
        <f t="shared" si="52"/>
        <v>0</v>
      </c>
      <c r="AC477" s="33">
        <f t="shared" si="51"/>
        <v>0</v>
      </c>
    </row>
    <row r="478" spans="1:29">
      <c r="A478" s="30"/>
      <c r="B478" s="30"/>
      <c r="C478" s="30"/>
      <c r="D478" s="30"/>
      <c r="K478" s="17">
        <f t="shared" si="53"/>
        <v>0</v>
      </c>
      <c r="U478" s="17">
        <f t="shared" si="54"/>
        <v>0</v>
      </c>
      <c r="AA478" s="17">
        <f t="shared" si="52"/>
        <v>0</v>
      </c>
      <c r="AC478" s="17">
        <f t="shared" si="51"/>
        <v>0</v>
      </c>
    </row>
    <row r="479" spans="1:29">
      <c r="A479" s="34"/>
      <c r="B479" s="34"/>
      <c r="C479" s="34"/>
      <c r="D479" s="34"/>
      <c r="K479" s="17">
        <f t="shared" si="53"/>
        <v>0</v>
      </c>
      <c r="U479" s="17">
        <f t="shared" si="54"/>
        <v>0</v>
      </c>
      <c r="AA479" s="17">
        <f t="shared" si="52"/>
        <v>0</v>
      </c>
      <c r="AC479" s="33">
        <f t="shared" si="51"/>
        <v>0</v>
      </c>
    </row>
    <row r="480" spans="1:29">
      <c r="A480" s="30"/>
      <c r="B480" s="30"/>
      <c r="C480" s="30"/>
      <c r="D480" s="30"/>
      <c r="K480" s="17">
        <f t="shared" si="53"/>
        <v>0</v>
      </c>
      <c r="U480" s="17">
        <f t="shared" si="54"/>
        <v>0</v>
      </c>
      <c r="AA480" s="17">
        <f t="shared" si="52"/>
        <v>0</v>
      </c>
      <c r="AC480" s="17">
        <f t="shared" si="51"/>
        <v>0</v>
      </c>
    </row>
    <row r="481" spans="1:29">
      <c r="A481" s="34"/>
      <c r="B481" s="34"/>
      <c r="C481" s="34"/>
      <c r="D481" s="34"/>
      <c r="K481" s="17">
        <f t="shared" si="53"/>
        <v>0</v>
      </c>
      <c r="U481" s="17">
        <f t="shared" si="54"/>
        <v>0</v>
      </c>
      <c r="AA481" s="17">
        <f t="shared" si="52"/>
        <v>0</v>
      </c>
      <c r="AC481" s="33">
        <f t="shared" si="51"/>
        <v>0</v>
      </c>
    </row>
    <row r="482" spans="1:29">
      <c r="A482" s="34"/>
      <c r="B482" s="34"/>
      <c r="C482" s="34"/>
      <c r="D482" s="34"/>
      <c r="K482" s="17">
        <f t="shared" si="53"/>
        <v>0</v>
      </c>
      <c r="U482" s="17">
        <f t="shared" si="54"/>
        <v>0</v>
      </c>
      <c r="AA482" s="17">
        <f t="shared" si="52"/>
        <v>0</v>
      </c>
      <c r="AC482" s="33">
        <f t="shared" si="51"/>
        <v>0</v>
      </c>
    </row>
    <row r="483" spans="1:29">
      <c r="A483" s="34"/>
      <c r="B483" s="34"/>
      <c r="C483" s="34"/>
      <c r="D483" s="34"/>
      <c r="K483" s="17">
        <f t="shared" si="53"/>
        <v>0</v>
      </c>
      <c r="U483" s="17">
        <f t="shared" si="54"/>
        <v>0</v>
      </c>
      <c r="AA483" s="17">
        <f t="shared" si="52"/>
        <v>0</v>
      </c>
      <c r="AC483" s="33">
        <f t="shared" si="51"/>
        <v>0</v>
      </c>
    </row>
    <row r="484" spans="1:29">
      <c r="A484" s="34"/>
      <c r="B484" s="34"/>
      <c r="C484" s="34"/>
      <c r="D484" s="34"/>
      <c r="K484" s="17">
        <f t="shared" si="53"/>
        <v>0</v>
      </c>
      <c r="U484" s="17">
        <f t="shared" si="54"/>
        <v>0</v>
      </c>
      <c r="AA484" s="17">
        <f t="shared" si="52"/>
        <v>0</v>
      </c>
      <c r="AC484" s="33">
        <f t="shared" si="51"/>
        <v>0</v>
      </c>
    </row>
    <row r="485" spans="1:29">
      <c r="A485" s="34"/>
      <c r="B485" s="34"/>
      <c r="C485" s="34"/>
      <c r="D485" s="34"/>
      <c r="K485" s="17">
        <f t="shared" si="53"/>
        <v>0</v>
      </c>
      <c r="U485" s="17">
        <f t="shared" si="54"/>
        <v>0</v>
      </c>
      <c r="AA485" s="17">
        <f t="shared" si="52"/>
        <v>0</v>
      </c>
      <c r="AC485" s="33">
        <f t="shared" si="51"/>
        <v>0</v>
      </c>
    </row>
    <row r="486" spans="1:29">
      <c r="A486" s="34"/>
      <c r="B486" s="34"/>
      <c r="C486" s="34"/>
      <c r="D486" s="34"/>
      <c r="K486" s="17">
        <f t="shared" si="53"/>
        <v>0</v>
      </c>
      <c r="U486" s="17">
        <f t="shared" si="54"/>
        <v>0</v>
      </c>
      <c r="AA486" s="17">
        <f t="shared" si="52"/>
        <v>0</v>
      </c>
      <c r="AC486" s="33">
        <f t="shared" si="51"/>
        <v>0</v>
      </c>
    </row>
    <row r="487" spans="1:29">
      <c r="A487" s="34"/>
      <c r="B487" s="34"/>
      <c r="C487" s="34"/>
      <c r="D487" s="34"/>
      <c r="K487" s="17">
        <f t="shared" si="53"/>
        <v>0</v>
      </c>
      <c r="U487" s="17">
        <f t="shared" si="54"/>
        <v>0</v>
      </c>
      <c r="AA487" s="17">
        <f t="shared" si="52"/>
        <v>0</v>
      </c>
      <c r="AC487" s="33">
        <f t="shared" si="51"/>
        <v>0</v>
      </c>
    </row>
    <row r="488" spans="1:29">
      <c r="A488" s="34"/>
      <c r="B488" s="34"/>
      <c r="C488" s="34"/>
      <c r="D488" s="34"/>
      <c r="K488" s="17">
        <f t="shared" si="53"/>
        <v>0</v>
      </c>
      <c r="U488" s="17">
        <f t="shared" si="54"/>
        <v>0</v>
      </c>
      <c r="AA488" s="17">
        <f t="shared" si="52"/>
        <v>0</v>
      </c>
      <c r="AC488" s="33">
        <f t="shared" si="51"/>
        <v>0</v>
      </c>
    </row>
    <row r="489" spans="1:29">
      <c r="A489" s="34"/>
      <c r="B489" s="34"/>
      <c r="C489" s="34"/>
      <c r="D489" s="34"/>
      <c r="K489" s="17">
        <f t="shared" si="53"/>
        <v>0</v>
      </c>
      <c r="U489" s="17">
        <f t="shared" si="54"/>
        <v>0</v>
      </c>
      <c r="AA489" s="17">
        <f t="shared" si="52"/>
        <v>0</v>
      </c>
      <c r="AC489" s="33">
        <f t="shared" si="51"/>
        <v>0</v>
      </c>
    </row>
    <row r="490" spans="1:29">
      <c r="A490" s="34"/>
      <c r="B490" s="34"/>
      <c r="C490" s="34"/>
      <c r="D490" s="34"/>
      <c r="K490" s="17">
        <f t="shared" si="53"/>
        <v>0</v>
      </c>
      <c r="U490" s="17">
        <f t="shared" si="54"/>
        <v>0</v>
      </c>
      <c r="AA490" s="17">
        <f t="shared" si="52"/>
        <v>0</v>
      </c>
      <c r="AC490" s="33">
        <f t="shared" si="51"/>
        <v>0</v>
      </c>
    </row>
    <row r="491" spans="1:29">
      <c r="A491" s="34"/>
      <c r="B491" s="34"/>
      <c r="C491" s="34"/>
      <c r="D491" s="34"/>
      <c r="K491" s="17">
        <f t="shared" si="53"/>
        <v>0</v>
      </c>
      <c r="U491" s="17">
        <f t="shared" si="54"/>
        <v>0</v>
      </c>
      <c r="AA491" s="17">
        <f t="shared" si="52"/>
        <v>0</v>
      </c>
      <c r="AC491" s="33">
        <f t="shared" si="51"/>
        <v>0</v>
      </c>
    </row>
    <row r="492" spans="1:29">
      <c r="A492" s="34"/>
      <c r="B492" s="34"/>
      <c r="C492" s="34"/>
      <c r="D492" s="34"/>
      <c r="K492" s="17">
        <f t="shared" si="53"/>
        <v>0</v>
      </c>
      <c r="U492" s="17">
        <f t="shared" si="54"/>
        <v>0</v>
      </c>
      <c r="AA492" s="17">
        <f t="shared" si="52"/>
        <v>0</v>
      </c>
      <c r="AC492" s="33">
        <f t="shared" si="51"/>
        <v>0</v>
      </c>
    </row>
    <row r="493" spans="1:29">
      <c r="A493" s="34"/>
      <c r="B493" s="34"/>
      <c r="C493" s="34"/>
      <c r="D493" s="34"/>
      <c r="K493" s="17">
        <f>+Q493-M493-O493</f>
        <v>0</v>
      </c>
      <c r="U493" s="17">
        <f>Y493-W493-S493</f>
        <v>0</v>
      </c>
      <c r="AA493" s="17">
        <f>+I493-Q493-Y493</f>
        <v>0</v>
      </c>
      <c r="AC493" s="33">
        <f>+E493+G493+-K493-M493-S493-U493-W493-O493</f>
        <v>0</v>
      </c>
    </row>
    <row r="494" spans="1:29">
      <c r="A494" s="34"/>
      <c r="B494" s="34"/>
      <c r="C494" s="34"/>
      <c r="D494" s="34"/>
      <c r="K494" s="17">
        <f t="shared" si="53"/>
        <v>0</v>
      </c>
      <c r="U494" s="17">
        <f t="shared" si="54"/>
        <v>0</v>
      </c>
      <c r="AA494" s="17">
        <f t="shared" si="52"/>
        <v>0</v>
      </c>
      <c r="AC494" s="33">
        <f t="shared" si="51"/>
        <v>0</v>
      </c>
    </row>
    <row r="495" spans="1:29">
      <c r="A495" s="34"/>
      <c r="B495" s="34"/>
      <c r="C495" s="34"/>
      <c r="D495" s="34"/>
      <c r="K495" s="17">
        <f t="shared" si="53"/>
        <v>0</v>
      </c>
      <c r="U495" s="17">
        <f t="shared" si="54"/>
        <v>0</v>
      </c>
      <c r="AA495" s="17">
        <f t="shared" si="52"/>
        <v>0</v>
      </c>
      <c r="AC495" s="33">
        <f t="shared" si="51"/>
        <v>0</v>
      </c>
    </row>
    <row r="496" spans="1:29">
      <c r="A496" s="34"/>
      <c r="B496" s="34"/>
      <c r="C496" s="34"/>
      <c r="D496" s="34"/>
      <c r="K496" s="17">
        <f t="shared" si="53"/>
        <v>0</v>
      </c>
      <c r="U496" s="17">
        <f t="shared" si="54"/>
        <v>0</v>
      </c>
      <c r="AA496" s="17">
        <f t="shared" si="52"/>
        <v>0</v>
      </c>
      <c r="AC496" s="33">
        <f t="shared" si="51"/>
        <v>0</v>
      </c>
    </row>
    <row r="497" spans="1:29">
      <c r="A497" s="34"/>
      <c r="B497" s="34"/>
      <c r="C497" s="34"/>
      <c r="D497" s="34"/>
      <c r="K497" s="17">
        <f t="shared" si="53"/>
        <v>0</v>
      </c>
      <c r="U497" s="17">
        <f t="shared" si="54"/>
        <v>0</v>
      </c>
      <c r="AA497" s="17">
        <f t="shared" si="52"/>
        <v>0</v>
      </c>
      <c r="AC497" s="33">
        <f t="shared" si="51"/>
        <v>0</v>
      </c>
    </row>
    <row r="498" spans="1:29">
      <c r="A498" s="34"/>
      <c r="B498" s="34"/>
      <c r="C498" s="34"/>
      <c r="D498" s="34"/>
      <c r="K498" s="17">
        <f t="shared" si="53"/>
        <v>0</v>
      </c>
      <c r="U498" s="17">
        <f t="shared" si="54"/>
        <v>0</v>
      </c>
      <c r="AA498" s="17">
        <f t="shared" si="52"/>
        <v>0</v>
      </c>
      <c r="AC498" s="33">
        <f t="shared" si="51"/>
        <v>0</v>
      </c>
    </row>
    <row r="499" spans="1:29">
      <c r="A499" s="34"/>
      <c r="B499" s="34"/>
      <c r="C499" s="34"/>
      <c r="D499" s="34"/>
      <c r="K499" s="17">
        <f t="shared" si="53"/>
        <v>0</v>
      </c>
      <c r="U499" s="17">
        <f t="shared" si="54"/>
        <v>0</v>
      </c>
      <c r="AA499" s="17">
        <f t="shared" si="52"/>
        <v>0</v>
      </c>
      <c r="AC499" s="33">
        <f t="shared" si="51"/>
        <v>0</v>
      </c>
    </row>
    <row r="500" spans="1:29">
      <c r="A500" s="34"/>
      <c r="B500" s="34"/>
      <c r="C500" s="34"/>
      <c r="D500" s="34"/>
      <c r="K500" s="17">
        <f t="shared" si="53"/>
        <v>0</v>
      </c>
      <c r="U500" s="17">
        <f t="shared" si="54"/>
        <v>0</v>
      </c>
      <c r="AA500" s="17">
        <f t="shared" si="52"/>
        <v>0</v>
      </c>
      <c r="AC500" s="33">
        <f t="shared" si="51"/>
        <v>0</v>
      </c>
    </row>
    <row r="501" spans="1:29">
      <c r="A501" s="34"/>
      <c r="B501" s="34"/>
      <c r="C501" s="34"/>
      <c r="D501" s="34"/>
      <c r="K501" s="17">
        <f t="shared" si="53"/>
        <v>0</v>
      </c>
      <c r="U501" s="17">
        <f t="shared" si="54"/>
        <v>0</v>
      </c>
      <c r="AA501" s="17">
        <f>+I501-Q501-Y501</f>
        <v>0</v>
      </c>
      <c r="AC501" s="33">
        <f t="shared" si="51"/>
        <v>0</v>
      </c>
    </row>
    <row r="502" spans="1:29">
      <c r="A502" s="34"/>
      <c r="B502" s="34"/>
      <c r="C502" s="34"/>
      <c r="D502" s="34"/>
      <c r="K502" s="17">
        <f t="shared" si="53"/>
        <v>0</v>
      </c>
      <c r="U502" s="17">
        <f t="shared" si="54"/>
        <v>0</v>
      </c>
      <c r="AA502" s="17">
        <f t="shared" si="52"/>
        <v>0</v>
      </c>
      <c r="AC502" s="33">
        <f t="shared" si="51"/>
        <v>0</v>
      </c>
    </row>
    <row r="503" spans="1:29">
      <c r="A503" s="34"/>
      <c r="B503" s="34"/>
      <c r="C503" s="34"/>
      <c r="D503" s="34"/>
      <c r="K503" s="17">
        <f t="shared" si="53"/>
        <v>0</v>
      </c>
      <c r="U503" s="17">
        <f t="shared" si="54"/>
        <v>0</v>
      </c>
      <c r="AA503" s="17">
        <f t="shared" si="52"/>
        <v>0</v>
      </c>
      <c r="AC503" s="33">
        <f t="shared" si="51"/>
        <v>0</v>
      </c>
    </row>
    <row r="504" spans="1:29">
      <c r="A504" s="34"/>
      <c r="B504" s="34"/>
      <c r="C504" s="34"/>
      <c r="D504" s="34"/>
      <c r="K504" s="17">
        <f t="shared" si="53"/>
        <v>0</v>
      </c>
      <c r="U504" s="17">
        <f t="shared" si="54"/>
        <v>0</v>
      </c>
      <c r="AA504" s="17">
        <f t="shared" si="52"/>
        <v>0</v>
      </c>
      <c r="AC504" s="33">
        <f>+E504+G504+-K504-M504-S504-U504-W504-O504</f>
        <v>0</v>
      </c>
    </row>
    <row r="505" spans="1:29">
      <c r="A505" s="34"/>
      <c r="B505" s="34"/>
      <c r="C505" s="34"/>
      <c r="D505" s="34"/>
      <c r="K505" s="17">
        <f t="shared" si="53"/>
        <v>0</v>
      </c>
      <c r="U505" s="17">
        <f t="shared" si="54"/>
        <v>0</v>
      </c>
      <c r="AA505" s="17">
        <f t="shared" si="52"/>
        <v>0</v>
      </c>
      <c r="AC505" s="33">
        <f t="shared" si="51"/>
        <v>0</v>
      </c>
    </row>
    <row r="506" spans="1:29">
      <c r="A506" s="34"/>
      <c r="B506" s="34"/>
      <c r="C506" s="34"/>
      <c r="D506" s="34"/>
      <c r="K506" s="17">
        <f t="shared" si="53"/>
        <v>0</v>
      </c>
      <c r="U506" s="17">
        <f t="shared" si="54"/>
        <v>0</v>
      </c>
      <c r="AA506" s="17">
        <f t="shared" si="52"/>
        <v>0</v>
      </c>
      <c r="AC506" s="33">
        <f t="shared" si="51"/>
        <v>0</v>
      </c>
    </row>
    <row r="507" spans="1:29">
      <c r="A507" s="34"/>
      <c r="B507" s="34"/>
      <c r="C507" s="34"/>
      <c r="D507" s="34"/>
      <c r="K507" s="17">
        <f t="shared" si="53"/>
        <v>0</v>
      </c>
      <c r="U507" s="17">
        <f t="shared" si="54"/>
        <v>0</v>
      </c>
      <c r="AA507" s="17">
        <f t="shared" si="52"/>
        <v>0</v>
      </c>
      <c r="AC507" s="33">
        <f t="shared" si="51"/>
        <v>0</v>
      </c>
    </row>
    <row r="508" spans="1:29">
      <c r="A508" s="34"/>
      <c r="B508" s="34"/>
      <c r="C508" s="34"/>
      <c r="D508" s="34"/>
      <c r="K508" s="17">
        <f t="shared" si="53"/>
        <v>0</v>
      </c>
      <c r="U508" s="17">
        <f t="shared" si="54"/>
        <v>0</v>
      </c>
      <c r="AA508" s="17">
        <f t="shared" si="52"/>
        <v>0</v>
      </c>
      <c r="AC508" s="33">
        <f t="shared" si="51"/>
        <v>0</v>
      </c>
    </row>
    <row r="509" spans="1:29">
      <c r="A509" s="34"/>
      <c r="B509" s="34"/>
      <c r="C509" s="34"/>
      <c r="D509" s="34"/>
      <c r="K509" s="17">
        <f t="shared" si="53"/>
        <v>0</v>
      </c>
      <c r="U509" s="17">
        <f t="shared" si="54"/>
        <v>0</v>
      </c>
      <c r="AA509" s="17">
        <f t="shared" si="52"/>
        <v>0</v>
      </c>
      <c r="AC509" s="33">
        <f t="shared" si="51"/>
        <v>0</v>
      </c>
    </row>
    <row r="510" spans="1:29">
      <c r="A510" s="34"/>
      <c r="B510" s="34"/>
      <c r="C510" s="34"/>
      <c r="D510" s="34"/>
      <c r="K510" s="17">
        <f t="shared" si="53"/>
        <v>0</v>
      </c>
      <c r="U510" s="17">
        <f t="shared" si="54"/>
        <v>0</v>
      </c>
      <c r="AA510" s="17">
        <f t="shared" si="52"/>
        <v>0</v>
      </c>
      <c r="AC510" s="33">
        <f t="shared" si="51"/>
        <v>0</v>
      </c>
    </row>
    <row r="511" spans="1:29">
      <c r="A511" s="34"/>
      <c r="B511" s="34"/>
      <c r="C511" s="34"/>
      <c r="D511" s="34"/>
      <c r="K511" s="17">
        <f t="shared" si="53"/>
        <v>0</v>
      </c>
      <c r="U511" s="17">
        <f t="shared" si="54"/>
        <v>0</v>
      </c>
      <c r="AA511" s="17">
        <f t="shared" si="52"/>
        <v>0</v>
      </c>
      <c r="AC511" s="33">
        <f t="shared" si="51"/>
        <v>0</v>
      </c>
    </row>
    <row r="512" spans="1:29">
      <c r="A512" s="34"/>
      <c r="B512" s="34"/>
      <c r="C512" s="34"/>
      <c r="D512" s="34"/>
      <c r="K512" s="17">
        <f t="shared" si="53"/>
        <v>0</v>
      </c>
      <c r="U512" s="17">
        <f t="shared" si="54"/>
        <v>0</v>
      </c>
      <c r="AA512" s="17">
        <f t="shared" si="52"/>
        <v>0</v>
      </c>
      <c r="AC512" s="33">
        <f t="shared" si="51"/>
        <v>0</v>
      </c>
    </row>
    <row r="513" spans="1:29">
      <c r="A513" s="34"/>
      <c r="B513" s="34"/>
      <c r="C513" s="34"/>
      <c r="D513" s="34"/>
      <c r="K513" s="17">
        <f t="shared" si="53"/>
        <v>0</v>
      </c>
      <c r="U513" s="17">
        <f t="shared" si="54"/>
        <v>0</v>
      </c>
      <c r="AA513" s="17">
        <f t="shared" si="52"/>
        <v>0</v>
      </c>
      <c r="AC513" s="33">
        <f t="shared" si="51"/>
        <v>0</v>
      </c>
    </row>
    <row r="514" spans="1:29">
      <c r="A514" s="34"/>
      <c r="B514" s="34"/>
      <c r="C514" s="34"/>
      <c r="D514" s="34"/>
      <c r="K514" s="17">
        <f t="shared" si="53"/>
        <v>0</v>
      </c>
      <c r="U514" s="17">
        <f t="shared" si="54"/>
        <v>0</v>
      </c>
      <c r="AA514" s="17">
        <f t="shared" si="52"/>
        <v>0</v>
      </c>
      <c r="AC514" s="33">
        <f t="shared" si="51"/>
        <v>0</v>
      </c>
    </row>
    <row r="515" spans="1:29">
      <c r="A515" s="34"/>
      <c r="B515" s="34"/>
      <c r="C515" s="34"/>
      <c r="D515" s="34"/>
      <c r="K515" s="17">
        <f t="shared" si="53"/>
        <v>0</v>
      </c>
      <c r="U515" s="17">
        <f t="shared" si="54"/>
        <v>0</v>
      </c>
      <c r="AA515" s="17">
        <f t="shared" si="52"/>
        <v>0</v>
      </c>
      <c r="AC515" s="33">
        <f t="shared" si="51"/>
        <v>0</v>
      </c>
    </row>
    <row r="516" spans="1:29">
      <c r="A516" s="34"/>
      <c r="B516" s="34"/>
      <c r="C516" s="34"/>
      <c r="D516" s="34"/>
      <c r="K516" s="17">
        <f t="shared" si="53"/>
        <v>0</v>
      </c>
      <c r="U516" s="17">
        <f t="shared" si="54"/>
        <v>0</v>
      </c>
      <c r="AA516" s="17">
        <f t="shared" si="52"/>
        <v>0</v>
      </c>
      <c r="AC516" s="33">
        <f t="shared" si="51"/>
        <v>0</v>
      </c>
    </row>
    <row r="517" spans="1:29">
      <c r="A517" s="34"/>
      <c r="B517" s="34"/>
      <c r="C517" s="34"/>
      <c r="D517" s="34"/>
      <c r="K517" s="17">
        <f t="shared" si="53"/>
        <v>0</v>
      </c>
      <c r="U517" s="17">
        <f t="shared" si="54"/>
        <v>0</v>
      </c>
      <c r="AA517" s="17">
        <f t="shared" si="52"/>
        <v>0</v>
      </c>
      <c r="AC517" s="33">
        <f t="shared" si="51"/>
        <v>0</v>
      </c>
    </row>
    <row r="518" spans="1:29">
      <c r="A518" s="34"/>
      <c r="B518" s="34"/>
      <c r="C518" s="34"/>
      <c r="D518" s="34"/>
      <c r="K518" s="17">
        <f t="shared" si="53"/>
        <v>0</v>
      </c>
      <c r="U518" s="17">
        <f t="shared" si="54"/>
        <v>0</v>
      </c>
      <c r="AA518" s="17">
        <f t="shared" si="52"/>
        <v>0</v>
      </c>
      <c r="AC518" s="33">
        <f t="shared" si="51"/>
        <v>0</v>
      </c>
    </row>
    <row r="519" spans="1:29">
      <c r="A519" s="34"/>
      <c r="B519" s="34"/>
      <c r="C519" s="34"/>
      <c r="D519" s="34"/>
      <c r="K519" s="17">
        <f t="shared" si="53"/>
        <v>0</v>
      </c>
      <c r="U519" s="17">
        <f t="shared" si="54"/>
        <v>0</v>
      </c>
      <c r="AA519" s="17">
        <f t="shared" si="52"/>
        <v>0</v>
      </c>
      <c r="AC519" s="33">
        <f t="shared" si="51"/>
        <v>0</v>
      </c>
    </row>
    <row r="520" spans="1:29">
      <c r="A520" s="34"/>
      <c r="B520" s="34"/>
      <c r="C520" s="34"/>
      <c r="D520" s="34"/>
      <c r="K520" s="17">
        <f t="shared" si="53"/>
        <v>0</v>
      </c>
      <c r="U520" s="17">
        <f t="shared" si="54"/>
        <v>0</v>
      </c>
      <c r="AA520" s="17">
        <f t="shared" si="52"/>
        <v>0</v>
      </c>
      <c r="AC520" s="33">
        <f t="shared" si="51"/>
        <v>0</v>
      </c>
    </row>
    <row r="521" spans="1:29">
      <c r="A521" s="34"/>
      <c r="B521" s="34"/>
      <c r="C521" s="34"/>
      <c r="D521" s="34"/>
      <c r="K521" s="17">
        <f t="shared" si="53"/>
        <v>0</v>
      </c>
      <c r="U521" s="17">
        <f t="shared" si="54"/>
        <v>0</v>
      </c>
      <c r="AA521" s="17">
        <f t="shared" si="52"/>
        <v>0</v>
      </c>
      <c r="AC521" s="33">
        <f t="shared" ref="AC521:AC573" si="55">+E521+G521+-K521-M521-S521-U521-W521-O521</f>
        <v>0</v>
      </c>
    </row>
    <row r="522" spans="1:29">
      <c r="A522" s="34"/>
      <c r="B522" s="34"/>
      <c r="C522" s="34"/>
      <c r="D522" s="34"/>
      <c r="K522" s="17">
        <f t="shared" si="53"/>
        <v>0</v>
      </c>
      <c r="U522" s="17">
        <f t="shared" si="54"/>
        <v>0</v>
      </c>
      <c r="AA522" s="17">
        <f t="shared" si="52"/>
        <v>0</v>
      </c>
      <c r="AC522" s="33">
        <f t="shared" si="55"/>
        <v>0</v>
      </c>
    </row>
    <row r="523" spans="1:29">
      <c r="A523" s="34"/>
      <c r="B523" s="34"/>
      <c r="C523" s="34"/>
      <c r="D523" s="34"/>
      <c r="K523" s="17">
        <f t="shared" si="53"/>
        <v>0</v>
      </c>
      <c r="U523" s="17">
        <f t="shared" si="54"/>
        <v>0</v>
      </c>
      <c r="AA523" s="17">
        <f t="shared" si="52"/>
        <v>0</v>
      </c>
      <c r="AC523" s="33">
        <f t="shared" si="55"/>
        <v>0</v>
      </c>
    </row>
    <row r="524" spans="1:29">
      <c r="A524" s="34"/>
      <c r="B524" s="34"/>
      <c r="C524" s="34"/>
      <c r="D524" s="34"/>
      <c r="K524" s="17">
        <f t="shared" si="53"/>
        <v>0</v>
      </c>
      <c r="U524" s="17">
        <f t="shared" si="54"/>
        <v>0</v>
      </c>
      <c r="AA524" s="17">
        <f t="shared" ref="AA524:AA576" si="56">+I524-Q524-Y524</f>
        <v>0</v>
      </c>
      <c r="AC524" s="33">
        <f t="shared" si="55"/>
        <v>0</v>
      </c>
    </row>
    <row r="525" spans="1:29">
      <c r="A525" s="34"/>
      <c r="B525" s="34"/>
      <c r="C525" s="34"/>
      <c r="D525" s="34"/>
      <c r="K525" s="17">
        <f>+Q525-M525-O525</f>
        <v>0</v>
      </c>
      <c r="U525" s="17">
        <f>Y525-W525-S525</f>
        <v>0</v>
      </c>
      <c r="AA525" s="17">
        <f>+I525-Q525-Y525</f>
        <v>0</v>
      </c>
      <c r="AC525" s="33">
        <f>+E525+G525+-K525-M525-S525-U525-W525-O525</f>
        <v>0</v>
      </c>
    </row>
    <row r="526" spans="1:29">
      <c r="A526" s="34"/>
      <c r="B526" s="34"/>
      <c r="C526" s="34"/>
      <c r="D526" s="34"/>
      <c r="K526" s="17">
        <f t="shared" si="53"/>
        <v>0</v>
      </c>
      <c r="U526" s="17">
        <f t="shared" si="54"/>
        <v>0</v>
      </c>
      <c r="AA526" s="17">
        <f t="shared" si="56"/>
        <v>0</v>
      </c>
      <c r="AC526" s="33">
        <f t="shared" si="55"/>
        <v>0</v>
      </c>
    </row>
    <row r="527" spans="1:29">
      <c r="A527" s="34"/>
      <c r="B527" s="34"/>
      <c r="C527" s="34"/>
      <c r="D527" s="34"/>
      <c r="K527" s="17">
        <f t="shared" si="53"/>
        <v>0</v>
      </c>
      <c r="U527" s="17">
        <f t="shared" si="54"/>
        <v>0</v>
      </c>
      <c r="AA527" s="17">
        <f t="shared" si="56"/>
        <v>0</v>
      </c>
      <c r="AC527" s="33">
        <f t="shared" si="55"/>
        <v>0</v>
      </c>
    </row>
    <row r="528" spans="1:29">
      <c r="A528" s="34"/>
      <c r="B528" s="34"/>
      <c r="C528" s="34"/>
      <c r="D528" s="34"/>
      <c r="K528" s="17">
        <f t="shared" si="53"/>
        <v>0</v>
      </c>
      <c r="U528" s="17">
        <f t="shared" si="54"/>
        <v>0</v>
      </c>
      <c r="AA528" s="17">
        <f t="shared" si="56"/>
        <v>0</v>
      </c>
      <c r="AC528" s="33">
        <f t="shared" si="55"/>
        <v>0</v>
      </c>
    </row>
    <row r="529" spans="1:29">
      <c r="A529" s="34"/>
      <c r="B529" s="34"/>
      <c r="C529" s="34"/>
      <c r="D529" s="34"/>
      <c r="K529" s="17">
        <f t="shared" ref="K529:K576" si="57">+Q529-M529-O529</f>
        <v>0</v>
      </c>
      <c r="U529" s="17">
        <v>0</v>
      </c>
      <c r="AA529" s="17">
        <f t="shared" si="56"/>
        <v>0</v>
      </c>
      <c r="AC529" s="33">
        <f t="shared" si="55"/>
        <v>0</v>
      </c>
    </row>
    <row r="530" spans="1:29">
      <c r="A530" s="34"/>
      <c r="B530" s="34"/>
      <c r="C530" s="34"/>
      <c r="D530" s="34"/>
      <c r="K530" s="17">
        <f t="shared" si="57"/>
        <v>0</v>
      </c>
      <c r="U530" s="17">
        <f t="shared" ref="U530:U576" si="58">Y530-W530-S530</f>
        <v>0</v>
      </c>
      <c r="AA530" s="17">
        <f t="shared" si="56"/>
        <v>0</v>
      </c>
      <c r="AC530" s="33">
        <f t="shared" si="55"/>
        <v>0</v>
      </c>
    </row>
    <row r="531" spans="1:29">
      <c r="A531" s="34"/>
      <c r="B531" s="34"/>
      <c r="C531" s="34"/>
      <c r="D531" s="34"/>
      <c r="K531" s="17">
        <f t="shared" si="57"/>
        <v>0</v>
      </c>
      <c r="U531" s="17">
        <f t="shared" si="58"/>
        <v>0</v>
      </c>
      <c r="AA531" s="17">
        <f t="shared" si="56"/>
        <v>0</v>
      </c>
      <c r="AC531" s="33">
        <f t="shared" si="55"/>
        <v>0</v>
      </c>
    </row>
    <row r="532" spans="1:29">
      <c r="A532" s="34"/>
      <c r="B532" s="34"/>
      <c r="C532" s="34"/>
      <c r="D532" s="34"/>
      <c r="K532" s="17">
        <f t="shared" si="57"/>
        <v>0</v>
      </c>
      <c r="U532" s="17">
        <f t="shared" si="58"/>
        <v>0</v>
      </c>
      <c r="AA532" s="17">
        <f t="shared" si="56"/>
        <v>0</v>
      </c>
      <c r="AC532" s="33">
        <f t="shared" si="55"/>
        <v>0</v>
      </c>
    </row>
    <row r="533" spans="1:29">
      <c r="A533" s="34"/>
      <c r="B533" s="34"/>
      <c r="C533" s="34"/>
      <c r="D533" s="34"/>
      <c r="K533" s="17">
        <f t="shared" si="57"/>
        <v>0</v>
      </c>
      <c r="U533" s="17">
        <f t="shared" si="58"/>
        <v>0</v>
      </c>
      <c r="AA533" s="17">
        <f t="shared" si="56"/>
        <v>0</v>
      </c>
      <c r="AC533" s="33">
        <f t="shared" si="55"/>
        <v>0</v>
      </c>
    </row>
    <row r="534" spans="1:29">
      <c r="A534" s="34"/>
      <c r="B534" s="34"/>
      <c r="C534" s="34"/>
      <c r="D534" s="34"/>
      <c r="K534" s="17">
        <f t="shared" si="57"/>
        <v>0</v>
      </c>
      <c r="U534" s="17">
        <f t="shared" si="58"/>
        <v>0</v>
      </c>
      <c r="AA534" s="17">
        <f t="shared" si="56"/>
        <v>0</v>
      </c>
      <c r="AC534" s="33">
        <f t="shared" si="55"/>
        <v>0</v>
      </c>
    </row>
    <row r="535" spans="1:29">
      <c r="A535" s="34"/>
      <c r="B535" s="34"/>
      <c r="C535" s="34"/>
      <c r="D535" s="34"/>
      <c r="K535" s="17">
        <f t="shared" si="57"/>
        <v>0</v>
      </c>
      <c r="U535" s="17">
        <f t="shared" si="58"/>
        <v>0</v>
      </c>
      <c r="AA535" s="17">
        <f t="shared" si="56"/>
        <v>0</v>
      </c>
      <c r="AC535" s="33">
        <f t="shared" si="55"/>
        <v>0</v>
      </c>
    </row>
    <row r="536" spans="1:29">
      <c r="A536" s="34"/>
      <c r="B536" s="34"/>
      <c r="C536" s="34"/>
      <c r="D536" s="34"/>
      <c r="K536" s="17">
        <f t="shared" si="57"/>
        <v>0</v>
      </c>
      <c r="U536" s="17">
        <f t="shared" si="58"/>
        <v>0</v>
      </c>
      <c r="AA536" s="17">
        <f t="shared" si="56"/>
        <v>0</v>
      </c>
      <c r="AC536" s="33">
        <f t="shared" si="55"/>
        <v>0</v>
      </c>
    </row>
    <row r="537" spans="1:29">
      <c r="A537" s="34"/>
      <c r="B537" s="34"/>
      <c r="C537" s="34"/>
      <c r="D537" s="34"/>
      <c r="K537" s="17">
        <f t="shared" si="57"/>
        <v>0</v>
      </c>
      <c r="U537" s="17">
        <f t="shared" si="58"/>
        <v>0</v>
      </c>
      <c r="AA537" s="17">
        <f t="shared" si="56"/>
        <v>0</v>
      </c>
      <c r="AC537" s="33">
        <f t="shared" si="55"/>
        <v>0</v>
      </c>
    </row>
    <row r="538" spans="1:29">
      <c r="A538" s="34"/>
      <c r="B538" s="34"/>
      <c r="C538" s="34"/>
      <c r="D538" s="34"/>
      <c r="K538" s="17">
        <f t="shared" si="57"/>
        <v>0</v>
      </c>
      <c r="U538" s="17">
        <f t="shared" si="58"/>
        <v>0</v>
      </c>
      <c r="AA538" s="17">
        <f t="shared" si="56"/>
        <v>0</v>
      </c>
      <c r="AC538" s="33">
        <f t="shared" si="55"/>
        <v>0</v>
      </c>
    </row>
    <row r="539" spans="1:29">
      <c r="A539" s="34"/>
      <c r="B539" s="34"/>
      <c r="C539" s="34"/>
      <c r="D539" s="34"/>
      <c r="K539" s="17">
        <f t="shared" si="57"/>
        <v>0</v>
      </c>
      <c r="U539" s="17">
        <f t="shared" si="58"/>
        <v>0</v>
      </c>
      <c r="AA539" s="17">
        <f t="shared" si="56"/>
        <v>0</v>
      </c>
      <c r="AC539" s="33">
        <f t="shared" si="55"/>
        <v>0</v>
      </c>
    </row>
    <row r="540" spans="1:29">
      <c r="A540" s="34"/>
      <c r="B540" s="34"/>
      <c r="C540" s="34"/>
      <c r="D540" s="34"/>
      <c r="K540" s="17">
        <f t="shared" si="57"/>
        <v>0</v>
      </c>
      <c r="U540" s="17">
        <f t="shared" si="58"/>
        <v>0</v>
      </c>
      <c r="AA540" s="17">
        <f t="shared" si="56"/>
        <v>0</v>
      </c>
      <c r="AC540" s="33">
        <f t="shared" si="55"/>
        <v>0</v>
      </c>
    </row>
    <row r="541" spans="1:29">
      <c r="A541" s="34"/>
      <c r="B541" s="34"/>
      <c r="C541" s="34"/>
      <c r="D541" s="34"/>
      <c r="K541" s="17">
        <f t="shared" si="57"/>
        <v>0</v>
      </c>
      <c r="U541" s="17">
        <f t="shared" si="58"/>
        <v>0</v>
      </c>
      <c r="AA541" s="17">
        <f t="shared" si="56"/>
        <v>0</v>
      </c>
      <c r="AC541" s="33">
        <f t="shared" si="55"/>
        <v>0</v>
      </c>
    </row>
    <row r="542" spans="1:29">
      <c r="A542" s="34"/>
      <c r="B542" s="34"/>
      <c r="C542" s="34"/>
      <c r="D542" s="34"/>
      <c r="K542" s="17">
        <f t="shared" si="57"/>
        <v>0</v>
      </c>
      <c r="U542" s="17">
        <f t="shared" si="58"/>
        <v>0</v>
      </c>
      <c r="AA542" s="17">
        <f t="shared" si="56"/>
        <v>0</v>
      </c>
      <c r="AC542" s="33">
        <f t="shared" si="55"/>
        <v>0</v>
      </c>
    </row>
    <row r="543" spans="1:29">
      <c r="A543" s="30"/>
      <c r="B543" s="30"/>
      <c r="C543" s="30"/>
      <c r="D543" s="30"/>
      <c r="K543" s="17">
        <f t="shared" si="57"/>
        <v>0</v>
      </c>
      <c r="U543" s="17">
        <f t="shared" si="58"/>
        <v>0</v>
      </c>
      <c r="AA543" s="17">
        <f t="shared" si="56"/>
        <v>0</v>
      </c>
      <c r="AC543" s="17">
        <f t="shared" si="55"/>
        <v>0</v>
      </c>
    </row>
    <row r="544" spans="1:29" s="33" customFormat="1">
      <c r="A544" s="31"/>
      <c r="B544" s="31"/>
      <c r="C544" s="31"/>
      <c r="D544" s="31"/>
    </row>
    <row r="545" spans="1:29" s="33" customFormat="1">
      <c r="A545" s="31"/>
      <c r="B545" s="31"/>
      <c r="C545" s="31"/>
      <c r="D545" s="31"/>
    </row>
    <row r="546" spans="1:29" s="33" customFormat="1">
      <c r="A546" s="31"/>
      <c r="B546" s="31"/>
      <c r="C546" s="31"/>
      <c r="D546" s="31"/>
      <c r="K546" s="33">
        <f t="shared" si="57"/>
        <v>0</v>
      </c>
      <c r="U546" s="33">
        <f t="shared" si="58"/>
        <v>0</v>
      </c>
      <c r="AA546" s="33">
        <f t="shared" si="56"/>
        <v>0</v>
      </c>
      <c r="AC546" s="33">
        <f t="shared" si="55"/>
        <v>0</v>
      </c>
    </row>
    <row r="547" spans="1:29">
      <c r="A547" s="34"/>
      <c r="B547" s="34"/>
      <c r="C547" s="34"/>
      <c r="D547" s="34"/>
      <c r="K547" s="17">
        <f t="shared" si="57"/>
        <v>0</v>
      </c>
      <c r="U547" s="17">
        <f t="shared" si="58"/>
        <v>0</v>
      </c>
      <c r="AA547" s="17">
        <f t="shared" si="56"/>
        <v>0</v>
      </c>
      <c r="AC547" s="33">
        <f t="shared" si="55"/>
        <v>0</v>
      </c>
    </row>
    <row r="548" spans="1:29">
      <c r="A548" s="34"/>
      <c r="B548" s="34"/>
      <c r="C548" s="34"/>
      <c r="D548" s="34"/>
      <c r="K548" s="17">
        <f t="shared" si="57"/>
        <v>0</v>
      </c>
      <c r="U548" s="17">
        <f t="shared" si="58"/>
        <v>0</v>
      </c>
      <c r="AA548" s="17">
        <f t="shared" si="56"/>
        <v>0</v>
      </c>
      <c r="AC548" s="33">
        <f t="shared" si="55"/>
        <v>0</v>
      </c>
    </row>
    <row r="549" spans="1:29">
      <c r="A549" s="34"/>
      <c r="B549" s="34"/>
      <c r="C549" s="34"/>
      <c r="D549" s="34"/>
      <c r="K549" s="17">
        <f t="shared" si="57"/>
        <v>0</v>
      </c>
      <c r="U549" s="17">
        <f t="shared" si="58"/>
        <v>0</v>
      </c>
      <c r="AA549" s="17">
        <f t="shared" si="56"/>
        <v>0</v>
      </c>
      <c r="AC549" s="33">
        <f t="shared" si="55"/>
        <v>0</v>
      </c>
    </row>
    <row r="550" spans="1:29">
      <c r="A550" s="30"/>
      <c r="B550" s="30"/>
      <c r="C550" s="30"/>
      <c r="D550" s="30"/>
      <c r="K550" s="17">
        <f t="shared" si="57"/>
        <v>0</v>
      </c>
      <c r="U550" s="17">
        <f t="shared" si="58"/>
        <v>0</v>
      </c>
      <c r="AA550" s="17">
        <f t="shared" si="56"/>
        <v>0</v>
      </c>
      <c r="AC550" s="33">
        <f t="shared" si="55"/>
        <v>0</v>
      </c>
    </row>
    <row r="551" spans="1:29">
      <c r="A551" s="34"/>
      <c r="B551" s="34"/>
      <c r="C551" s="34"/>
      <c r="D551" s="34"/>
      <c r="K551" s="17">
        <f t="shared" si="57"/>
        <v>0</v>
      </c>
      <c r="U551" s="17">
        <f t="shared" si="58"/>
        <v>0</v>
      </c>
      <c r="AA551" s="17">
        <f t="shared" si="56"/>
        <v>0</v>
      </c>
      <c r="AC551" s="33">
        <f t="shared" si="55"/>
        <v>0</v>
      </c>
    </row>
    <row r="552" spans="1:29">
      <c r="A552" s="34"/>
      <c r="B552" s="34"/>
      <c r="C552" s="34"/>
      <c r="D552" s="34"/>
      <c r="K552" s="17">
        <f t="shared" si="57"/>
        <v>0</v>
      </c>
      <c r="U552" s="17">
        <f t="shared" si="58"/>
        <v>0</v>
      </c>
      <c r="AA552" s="17">
        <f t="shared" si="56"/>
        <v>0</v>
      </c>
      <c r="AC552" s="33">
        <f t="shared" si="55"/>
        <v>0</v>
      </c>
    </row>
    <row r="553" spans="1:29">
      <c r="A553" s="30"/>
      <c r="B553" s="30"/>
      <c r="C553" s="30"/>
      <c r="D553" s="30"/>
      <c r="K553" s="17">
        <f t="shared" si="57"/>
        <v>0</v>
      </c>
      <c r="U553" s="17">
        <f t="shared" si="58"/>
        <v>0</v>
      </c>
      <c r="AA553" s="17">
        <f t="shared" si="56"/>
        <v>0</v>
      </c>
      <c r="AC553" s="17">
        <f t="shared" si="55"/>
        <v>0</v>
      </c>
    </row>
    <row r="554" spans="1:29">
      <c r="A554" s="34"/>
      <c r="B554" s="34"/>
      <c r="C554" s="34"/>
      <c r="D554" s="34"/>
      <c r="K554" s="17">
        <f t="shared" si="57"/>
        <v>0</v>
      </c>
      <c r="U554" s="17">
        <f t="shared" si="58"/>
        <v>0</v>
      </c>
      <c r="AA554" s="17">
        <f t="shared" si="56"/>
        <v>0</v>
      </c>
      <c r="AC554" s="33">
        <f t="shared" si="55"/>
        <v>0</v>
      </c>
    </row>
    <row r="555" spans="1:29">
      <c r="A555" s="34"/>
      <c r="B555" s="34"/>
      <c r="C555" s="34"/>
      <c r="D555" s="34"/>
      <c r="K555" s="17">
        <f t="shared" si="57"/>
        <v>0</v>
      </c>
      <c r="U555" s="17">
        <f t="shared" si="58"/>
        <v>0</v>
      </c>
      <c r="AA555" s="17">
        <f t="shared" si="56"/>
        <v>0</v>
      </c>
      <c r="AC555" s="33">
        <f t="shared" si="55"/>
        <v>0</v>
      </c>
    </row>
    <row r="556" spans="1:29">
      <c r="A556" s="34"/>
      <c r="B556" s="34"/>
      <c r="C556" s="34"/>
      <c r="D556" s="34"/>
      <c r="K556" s="17">
        <f t="shared" si="57"/>
        <v>0</v>
      </c>
      <c r="U556" s="17">
        <f t="shared" si="58"/>
        <v>0</v>
      </c>
      <c r="AA556" s="17">
        <f t="shared" si="56"/>
        <v>0</v>
      </c>
      <c r="AC556" s="33">
        <f t="shared" si="55"/>
        <v>0</v>
      </c>
    </row>
    <row r="557" spans="1:29">
      <c r="A557" s="30"/>
      <c r="B557" s="30"/>
      <c r="C557" s="30"/>
      <c r="D557" s="30"/>
      <c r="K557" s="17">
        <f t="shared" si="57"/>
        <v>0</v>
      </c>
      <c r="U557" s="17">
        <f t="shared" si="58"/>
        <v>0</v>
      </c>
      <c r="AA557" s="17">
        <f>+I557-Q557-Y557</f>
        <v>0</v>
      </c>
      <c r="AC557" s="17">
        <f t="shared" si="55"/>
        <v>0</v>
      </c>
    </row>
    <row r="558" spans="1:29">
      <c r="A558" s="34"/>
      <c r="B558" s="34"/>
      <c r="C558" s="34"/>
      <c r="D558" s="34"/>
      <c r="K558" s="17">
        <f t="shared" si="57"/>
        <v>0</v>
      </c>
      <c r="U558" s="17">
        <f t="shared" si="58"/>
        <v>0</v>
      </c>
      <c r="AA558" s="17">
        <f>+I558-Q558-Y558</f>
        <v>0</v>
      </c>
      <c r="AC558" s="33">
        <f t="shared" si="55"/>
        <v>0</v>
      </c>
    </row>
    <row r="559" spans="1:29">
      <c r="A559" s="34"/>
      <c r="B559" s="34"/>
      <c r="C559" s="34"/>
      <c r="D559" s="34"/>
      <c r="K559" s="17">
        <f t="shared" si="57"/>
        <v>0</v>
      </c>
      <c r="U559" s="17">
        <f t="shared" si="58"/>
        <v>0</v>
      </c>
      <c r="AA559" s="17">
        <f t="shared" si="56"/>
        <v>0</v>
      </c>
      <c r="AC559" s="33">
        <f t="shared" si="55"/>
        <v>0</v>
      </c>
    </row>
    <row r="560" spans="1:29">
      <c r="A560" s="34"/>
      <c r="B560" s="34"/>
      <c r="C560" s="34"/>
      <c r="D560" s="34"/>
      <c r="K560" s="17">
        <f t="shared" si="57"/>
        <v>0</v>
      </c>
      <c r="U560" s="17">
        <f t="shared" si="58"/>
        <v>0</v>
      </c>
      <c r="AA560" s="17">
        <f t="shared" si="56"/>
        <v>0</v>
      </c>
      <c r="AC560" s="33">
        <f t="shared" si="55"/>
        <v>0</v>
      </c>
    </row>
    <row r="561" spans="1:29">
      <c r="A561" s="34"/>
      <c r="B561" s="34"/>
      <c r="C561" s="34"/>
      <c r="D561" s="34"/>
      <c r="K561" s="17">
        <f t="shared" si="57"/>
        <v>0</v>
      </c>
      <c r="U561" s="17">
        <f t="shared" si="58"/>
        <v>0</v>
      </c>
      <c r="AA561" s="17">
        <f t="shared" si="56"/>
        <v>0</v>
      </c>
      <c r="AC561" s="33">
        <f t="shared" si="55"/>
        <v>0</v>
      </c>
    </row>
    <row r="562" spans="1:29">
      <c r="A562" s="34"/>
      <c r="B562" s="34"/>
      <c r="C562" s="34"/>
      <c r="D562" s="34"/>
      <c r="K562" s="17">
        <f t="shared" si="57"/>
        <v>0</v>
      </c>
      <c r="U562" s="17">
        <f t="shared" si="58"/>
        <v>0</v>
      </c>
      <c r="AA562" s="17">
        <f t="shared" si="56"/>
        <v>0</v>
      </c>
      <c r="AC562" s="33">
        <f t="shared" si="55"/>
        <v>0</v>
      </c>
    </row>
    <row r="563" spans="1:29">
      <c r="A563" s="34"/>
      <c r="B563" s="34"/>
      <c r="C563" s="34"/>
      <c r="D563" s="34"/>
      <c r="K563" s="17">
        <f t="shared" si="57"/>
        <v>0</v>
      </c>
      <c r="U563" s="17">
        <f t="shared" si="58"/>
        <v>0</v>
      </c>
      <c r="AA563" s="17">
        <f t="shared" si="56"/>
        <v>0</v>
      </c>
      <c r="AC563" s="33">
        <f t="shared" si="55"/>
        <v>0</v>
      </c>
    </row>
    <row r="564" spans="1:29">
      <c r="A564" s="34"/>
      <c r="B564" s="34"/>
      <c r="C564" s="34"/>
      <c r="D564" s="34"/>
      <c r="K564" s="17">
        <f t="shared" si="57"/>
        <v>0</v>
      </c>
      <c r="U564" s="17">
        <f t="shared" si="58"/>
        <v>0</v>
      </c>
      <c r="AA564" s="17">
        <f t="shared" si="56"/>
        <v>0</v>
      </c>
      <c r="AC564" s="33">
        <f t="shared" si="55"/>
        <v>0</v>
      </c>
    </row>
    <row r="565" spans="1:29">
      <c r="A565" s="34"/>
      <c r="B565" s="34"/>
      <c r="C565" s="34"/>
      <c r="D565" s="34"/>
      <c r="K565" s="17">
        <f t="shared" si="57"/>
        <v>0</v>
      </c>
      <c r="U565" s="17">
        <f t="shared" si="58"/>
        <v>0</v>
      </c>
      <c r="AA565" s="17">
        <f t="shared" si="56"/>
        <v>0</v>
      </c>
      <c r="AC565" s="33">
        <f t="shared" si="55"/>
        <v>0</v>
      </c>
    </row>
    <row r="566" spans="1:29">
      <c r="A566" s="34"/>
      <c r="B566" s="34"/>
      <c r="C566" s="34"/>
      <c r="D566" s="34"/>
      <c r="K566" s="17">
        <f t="shared" si="57"/>
        <v>0</v>
      </c>
      <c r="U566" s="17">
        <f t="shared" si="58"/>
        <v>0</v>
      </c>
      <c r="AA566" s="17">
        <f t="shared" si="56"/>
        <v>0</v>
      </c>
      <c r="AC566" s="33">
        <f t="shared" si="55"/>
        <v>0</v>
      </c>
    </row>
    <row r="567" spans="1:29">
      <c r="A567" s="34"/>
      <c r="B567" s="34"/>
      <c r="C567" s="34"/>
      <c r="D567" s="34"/>
      <c r="K567" s="17">
        <f t="shared" si="57"/>
        <v>0</v>
      </c>
      <c r="U567" s="17">
        <f t="shared" si="58"/>
        <v>0</v>
      </c>
      <c r="AA567" s="17">
        <f t="shared" si="56"/>
        <v>0</v>
      </c>
      <c r="AC567" s="33">
        <f t="shared" si="55"/>
        <v>0</v>
      </c>
    </row>
    <row r="568" spans="1:29">
      <c r="A568" s="34"/>
      <c r="B568" s="34"/>
      <c r="C568" s="34"/>
      <c r="D568" s="34"/>
      <c r="K568" s="17">
        <f t="shared" si="57"/>
        <v>0</v>
      </c>
      <c r="U568" s="17">
        <f t="shared" si="58"/>
        <v>0</v>
      </c>
      <c r="AA568" s="17">
        <f t="shared" si="56"/>
        <v>0</v>
      </c>
      <c r="AC568" s="33">
        <f t="shared" si="55"/>
        <v>0</v>
      </c>
    </row>
    <row r="569" spans="1:29">
      <c r="A569" s="34"/>
      <c r="B569" s="34"/>
      <c r="C569" s="34"/>
      <c r="D569" s="34"/>
      <c r="K569" s="17">
        <f t="shared" si="57"/>
        <v>0</v>
      </c>
      <c r="U569" s="17">
        <f t="shared" si="58"/>
        <v>0</v>
      </c>
      <c r="AA569" s="17">
        <f t="shared" si="56"/>
        <v>0</v>
      </c>
      <c r="AC569" s="33">
        <f t="shared" si="55"/>
        <v>0</v>
      </c>
    </row>
    <row r="570" spans="1:29">
      <c r="A570" s="34"/>
      <c r="B570" s="34"/>
      <c r="C570" s="34"/>
      <c r="D570" s="34"/>
      <c r="K570" s="17">
        <f t="shared" si="57"/>
        <v>0</v>
      </c>
      <c r="U570" s="17">
        <f t="shared" si="58"/>
        <v>0</v>
      </c>
      <c r="AA570" s="17">
        <f t="shared" si="56"/>
        <v>0</v>
      </c>
      <c r="AC570" s="33">
        <f t="shared" si="55"/>
        <v>0</v>
      </c>
    </row>
    <row r="571" spans="1:29">
      <c r="A571" s="34"/>
      <c r="B571" s="34"/>
      <c r="C571" s="34"/>
      <c r="D571" s="34"/>
      <c r="K571" s="17">
        <f t="shared" si="57"/>
        <v>0</v>
      </c>
      <c r="U571" s="17">
        <f t="shared" si="58"/>
        <v>0</v>
      </c>
      <c r="AA571" s="17">
        <f t="shared" si="56"/>
        <v>0</v>
      </c>
      <c r="AC571" s="33">
        <f t="shared" si="55"/>
        <v>0</v>
      </c>
    </row>
    <row r="572" spans="1:29">
      <c r="A572" s="34"/>
      <c r="B572" s="34"/>
      <c r="C572" s="34"/>
      <c r="D572" s="34"/>
      <c r="K572" s="17">
        <f t="shared" si="57"/>
        <v>0</v>
      </c>
      <c r="U572" s="17">
        <f t="shared" si="58"/>
        <v>0</v>
      </c>
      <c r="AA572" s="17">
        <f t="shared" si="56"/>
        <v>0</v>
      </c>
      <c r="AC572" s="33">
        <f t="shared" si="55"/>
        <v>0</v>
      </c>
    </row>
    <row r="573" spans="1:29">
      <c r="A573" s="34"/>
      <c r="B573" s="34"/>
      <c r="C573" s="34"/>
      <c r="D573" s="34"/>
      <c r="K573" s="17">
        <f t="shared" si="57"/>
        <v>0</v>
      </c>
      <c r="U573" s="17">
        <f t="shared" si="58"/>
        <v>0</v>
      </c>
      <c r="AA573" s="17">
        <f t="shared" si="56"/>
        <v>0</v>
      </c>
      <c r="AC573" s="33">
        <f t="shared" si="55"/>
        <v>0</v>
      </c>
    </row>
    <row r="574" spans="1:29">
      <c r="A574" s="34"/>
      <c r="B574" s="34"/>
      <c r="C574" s="34"/>
      <c r="D574" s="34"/>
      <c r="K574" s="17">
        <f t="shared" si="57"/>
        <v>0</v>
      </c>
      <c r="U574" s="17">
        <f t="shared" si="58"/>
        <v>0</v>
      </c>
      <c r="AA574" s="17">
        <f t="shared" si="56"/>
        <v>0</v>
      </c>
      <c r="AC574" s="33">
        <f>+E574+G574+-K574-M574-S574-U574-W574-O574</f>
        <v>0</v>
      </c>
    </row>
    <row r="575" spans="1:29">
      <c r="A575" s="34"/>
      <c r="B575" s="34"/>
      <c r="C575" s="34"/>
      <c r="D575" s="34"/>
      <c r="K575" s="17">
        <f t="shared" si="57"/>
        <v>0</v>
      </c>
      <c r="U575" s="17">
        <f t="shared" si="58"/>
        <v>0</v>
      </c>
      <c r="AA575" s="17">
        <f t="shared" si="56"/>
        <v>0</v>
      </c>
      <c r="AC575" s="33">
        <f>+E575+G575+-K575-M575-S575-U575-W575-O575</f>
        <v>0</v>
      </c>
    </row>
    <row r="576" spans="1:29">
      <c r="A576" s="34"/>
      <c r="B576" s="34"/>
      <c r="C576" s="34"/>
      <c r="D576" s="34"/>
      <c r="K576" s="17">
        <f t="shared" si="57"/>
        <v>0</v>
      </c>
      <c r="U576" s="17">
        <f t="shared" si="58"/>
        <v>0</v>
      </c>
      <c r="AA576" s="17">
        <f t="shared" si="56"/>
        <v>0</v>
      </c>
      <c r="AC576" s="33">
        <f>+E576+G576+-K576-M576-S576-U576-W576-O576</f>
        <v>0</v>
      </c>
    </row>
    <row r="578" spans="1:9">
      <c r="A578" s="17" t="s">
        <v>546</v>
      </c>
    </row>
    <row r="579" spans="1:9">
      <c r="A579" s="44" t="s">
        <v>547</v>
      </c>
      <c r="B579" s="44"/>
      <c r="C579" s="44"/>
      <c r="D579" s="44"/>
      <c r="E579" s="44"/>
      <c r="F579" s="44"/>
      <c r="G579" s="44"/>
      <c r="H579" s="44"/>
      <c r="I579" s="44"/>
    </row>
  </sheetData>
  <mergeCells count="5">
    <mergeCell ref="A1:G1"/>
    <mergeCell ref="E7:H7"/>
    <mergeCell ref="K7:M7"/>
    <mergeCell ref="S7:W7"/>
    <mergeCell ref="A579:I57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Stm. of Activities</vt:lpstr>
      <vt:lpstr>Gen Rev</vt:lpstr>
      <vt:lpstr>Gen Exp</vt:lpstr>
      <vt:lpstr>Gov Rev</vt:lpstr>
      <vt:lpstr>Gov Exp</vt:lpstr>
      <vt:lpstr>Sheet1</vt:lpstr>
      <vt:lpstr>'Gen Exp'!Print_Area</vt:lpstr>
      <vt:lpstr>'Gen Rev'!Print_Area</vt:lpstr>
      <vt:lpstr>'Gov Exp'!Print_Area</vt:lpstr>
      <vt:lpstr>'Gov Rev'!Print_Area</vt:lpstr>
      <vt:lpstr>'Stm. of Activities'!Print_Area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O. Myser</dc:creator>
  <cp:lastModifiedBy>Tisha A. Turner</cp:lastModifiedBy>
  <cp:lastPrinted>2010-10-14T17:29:32Z</cp:lastPrinted>
  <dcterms:created xsi:type="dcterms:W3CDTF">2007-01-22T17:20:47Z</dcterms:created>
  <dcterms:modified xsi:type="dcterms:W3CDTF">2010-10-14T17:30:43Z</dcterms:modified>
</cp:coreProperties>
</file>