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275" windowHeight="9975" tabRatio="604" activeTab="4"/>
  </bookViews>
  <sheets>
    <sheet name="Stm. of Activities" sheetId="1" r:id="rId1"/>
    <sheet name="Gen Rev" sheetId="2" r:id="rId2"/>
    <sheet name="Gen Exp" sheetId="3" r:id="rId3"/>
    <sheet name="Gov Rev" sheetId="4" r:id="rId4"/>
    <sheet name="Gov Exp" sheetId="5" r:id="rId5"/>
  </sheets>
  <definedNames>
    <definedName name="_xlnm.Print_Area" localSheetId="2">'Gen Exp'!$A$8:$AC$382</definedName>
    <definedName name="_xlnm.Print_Area" localSheetId="1">'Gen Rev'!$A$8:$AC$362</definedName>
    <definedName name="_xlnm.Print_Area" localSheetId="4">'Gov Exp'!$A$1:$AC$380</definedName>
    <definedName name="_xlnm.Print_Area" localSheetId="3">'Gov Rev'!$A$10:$AC$384</definedName>
    <definedName name="_xlnm.Print_Titles" localSheetId="2">'Gen Exp'!$1:$7</definedName>
    <definedName name="_xlnm.Print_Titles" localSheetId="1">'Gen Rev'!$1:$7</definedName>
    <definedName name="_xlnm.Print_Titles" localSheetId="4">'Gov Exp'!$1:$6</definedName>
    <definedName name="_xlnm.Print_Titles" localSheetId="3">'Gov Rev'!$1:$8</definedName>
    <definedName name="_xlnm.Print_Titles" localSheetId="0">'Stm. of Activities'!$1:$11</definedName>
  </definedNames>
  <calcPr fullCalcOnLoad="1"/>
</workbook>
</file>

<file path=xl/sharedStrings.xml><?xml version="1.0" encoding="utf-8"?>
<sst xmlns="http://schemas.openxmlformats.org/spreadsheetml/2006/main" count="3420" uniqueCount="629">
  <si>
    <t>Other</t>
  </si>
  <si>
    <t>Miscellaneous</t>
  </si>
  <si>
    <t>Intergovernmental</t>
  </si>
  <si>
    <t>Salaries</t>
  </si>
  <si>
    <t>Employee Fringe Benefits</t>
  </si>
  <si>
    <t>Supplies</t>
  </si>
  <si>
    <t>Entity Name</t>
  </si>
  <si>
    <t>County</t>
  </si>
  <si>
    <t>(Continued)</t>
  </si>
  <si>
    <t>Library</t>
  </si>
  <si>
    <t>Lane Public Library</t>
  </si>
  <si>
    <t>Butler</t>
  </si>
  <si>
    <t>London Public Library</t>
  </si>
  <si>
    <t>Madison</t>
  </si>
  <si>
    <t>Belmont</t>
  </si>
  <si>
    <t>Mentor Public Library</t>
  </si>
  <si>
    <t>Lake</t>
  </si>
  <si>
    <t>Knox</t>
  </si>
  <si>
    <t>Geauga</t>
  </si>
  <si>
    <t>Euclid Public Library</t>
  </si>
  <si>
    <t>Cuyahoga</t>
  </si>
  <si>
    <t>Medina</t>
  </si>
  <si>
    <t>Barnesville Public Library</t>
  </si>
  <si>
    <t>Summit</t>
  </si>
  <si>
    <t>Portsmouth Public Library</t>
  </si>
  <si>
    <t>Scioto</t>
  </si>
  <si>
    <t>Stark</t>
  </si>
  <si>
    <t>Tuscarawas</t>
  </si>
  <si>
    <t>Washington</t>
  </si>
  <si>
    <t>Total</t>
  </si>
  <si>
    <t>Services</t>
  </si>
  <si>
    <t>Capital</t>
  </si>
  <si>
    <t>Property and</t>
  </si>
  <si>
    <t>Assets</t>
  </si>
  <si>
    <t>Alexandria Publ Library</t>
  </si>
  <si>
    <t>Brown County Public Library</t>
  </si>
  <si>
    <t>Coldwater Publi Library</t>
  </si>
  <si>
    <t>Girard Free Library</t>
  </si>
  <si>
    <t>Gnadenhutten Public Library</t>
  </si>
  <si>
    <t>Herrick Memorial Library</t>
  </si>
  <si>
    <t>Hurt Battelle Memorial Library</t>
  </si>
  <si>
    <t>Wauseon Public Library</t>
  </si>
  <si>
    <t>Wickliffe Public Library</t>
  </si>
  <si>
    <t>Adams</t>
  </si>
  <si>
    <t>Licking</t>
  </si>
  <si>
    <t>Fulton</t>
  </si>
  <si>
    <t>Ashtabula</t>
  </si>
  <si>
    <t>Auglaize</t>
  </si>
  <si>
    <t>Seneca</t>
  </si>
  <si>
    <t>Harrison</t>
  </si>
  <si>
    <t>Brown</t>
  </si>
  <si>
    <t>Carroll</t>
  </si>
  <si>
    <t>Ross</t>
  </si>
  <si>
    <t>Mercer</t>
  </si>
  <si>
    <t>Columbiana</t>
  </si>
  <si>
    <t>Crawford</t>
  </si>
  <si>
    <t>Miami</t>
  </si>
  <si>
    <t>Warren</t>
  </si>
  <si>
    <t>Montgomery</t>
  </si>
  <si>
    <t>Trumbull</t>
  </si>
  <si>
    <t>Lorain</t>
  </si>
  <si>
    <t>Highland</t>
  </si>
  <si>
    <t>Morgan</t>
  </si>
  <si>
    <t>Henry</t>
  </si>
  <si>
    <t>Hardin</t>
  </si>
  <si>
    <t>Champaign</t>
  </si>
  <si>
    <t>Wyandot</t>
  </si>
  <si>
    <t>Monroe</t>
  </si>
  <si>
    <t>Wood</t>
  </si>
  <si>
    <t>Perry</t>
  </si>
  <si>
    <t>Fairfield</t>
  </si>
  <si>
    <t>Morrow</t>
  </si>
  <si>
    <t>Clinton</t>
  </si>
  <si>
    <t>Delaware</t>
  </si>
  <si>
    <t>Alexandria Public Library</t>
  </si>
  <si>
    <t>Coldwater Public Library</t>
  </si>
  <si>
    <t xml:space="preserve">Ada Public Library </t>
  </si>
  <si>
    <t xml:space="preserve">Adams County Public Library </t>
  </si>
  <si>
    <t xml:space="preserve">Alger Public Library </t>
  </si>
  <si>
    <t>Amherst Public Library</t>
  </si>
  <si>
    <t>Amos Memorial Public Library</t>
  </si>
  <si>
    <t>Shelby</t>
  </si>
  <si>
    <t>Andover Public Library</t>
  </si>
  <si>
    <t xml:space="preserve">Arcanum Public Library </t>
  </si>
  <si>
    <t>Darke</t>
  </si>
  <si>
    <t xml:space="preserve">Archbold Commun Library </t>
  </si>
  <si>
    <t>Ashland Public Library</t>
  </si>
  <si>
    <t>Ashland</t>
  </si>
  <si>
    <t xml:space="preserve">Ashtabula Co Di Library </t>
  </si>
  <si>
    <t xml:space="preserve">Auglaize Co. District Library </t>
  </si>
  <si>
    <t>Avon Lake Public Library</t>
  </si>
  <si>
    <t xml:space="preserve">Bellaire Public Library </t>
  </si>
  <si>
    <t>Belle Center Free Public Library</t>
  </si>
  <si>
    <t>Logan</t>
  </si>
  <si>
    <t>Bellevue Public Library</t>
  </si>
  <si>
    <t>Huron</t>
  </si>
  <si>
    <t>Bettsville Public Library</t>
  </si>
  <si>
    <t>Bexley Pubilce Library</t>
  </si>
  <si>
    <t>Franklin</t>
  </si>
  <si>
    <t>Birchard Public Library</t>
  </si>
  <si>
    <t>Sandusky</t>
  </si>
  <si>
    <t>Blanchester Public Library</t>
  </si>
  <si>
    <t xml:space="preserve">Bliss Memorial Public Library </t>
  </si>
  <si>
    <t xml:space="preserve">Bluffton-Richla Library </t>
  </si>
  <si>
    <t>Allen</t>
  </si>
  <si>
    <t xml:space="preserve">Bowerston Library </t>
  </si>
  <si>
    <t xml:space="preserve">Bradford Public Library </t>
  </si>
  <si>
    <t>Bristol Public Library</t>
  </si>
  <si>
    <t>Brown Memorial Public Library</t>
  </si>
  <si>
    <t>Preble</t>
  </si>
  <si>
    <t>Bucyrus Public Library</t>
  </si>
  <si>
    <t xml:space="preserve">Burton Public Library </t>
  </si>
  <si>
    <t xml:space="preserve">Caldwell Public Library </t>
  </si>
  <si>
    <t>Noble</t>
  </si>
  <si>
    <t xml:space="preserve">Canal Fulton Public Library </t>
  </si>
  <si>
    <t>Cardington-Lincoln Village Public</t>
  </si>
  <si>
    <t>Carnegie Public Library</t>
  </si>
  <si>
    <t>Fayette</t>
  </si>
  <si>
    <t xml:space="preserve">Carroll Co. District Library </t>
  </si>
  <si>
    <t>Centerburg Public Library</t>
  </si>
  <si>
    <t>Champaign Co. Publice Library</t>
  </si>
  <si>
    <t xml:space="preserve">Chillicothe &amp; Ross Cty. Public Library </t>
  </si>
  <si>
    <t>Clark County Public Library</t>
  </si>
  <si>
    <t>Clark</t>
  </si>
  <si>
    <t xml:space="preserve">Claymont School Dist.Public Library </t>
  </si>
  <si>
    <t>Clermont County Public Library</t>
  </si>
  <si>
    <t>Clermont</t>
  </si>
  <si>
    <t>Clyde Public Library</t>
  </si>
  <si>
    <t>Columbus Metropolitan Public Library</t>
  </si>
  <si>
    <t>Conneaut Public Library</t>
  </si>
  <si>
    <t>Coshocton Public Library</t>
  </si>
  <si>
    <t>Coshocton</t>
  </si>
  <si>
    <t xml:space="preserve">Crestline Public Library </t>
  </si>
  <si>
    <t>Cuyahoga Co. Public Library</t>
  </si>
  <si>
    <t xml:space="preserve">Dayton Metro Library </t>
  </si>
  <si>
    <t>Defiance Public Library</t>
  </si>
  <si>
    <t>Defiance</t>
  </si>
  <si>
    <t>Delaware County District Library</t>
  </si>
  <si>
    <t xml:space="preserve">Delphos Public Library </t>
  </si>
  <si>
    <t xml:space="preserve">Delta Public Library </t>
  </si>
  <si>
    <t>Dorcas Carey Public Library</t>
  </si>
  <si>
    <t>Dover Public Library</t>
  </si>
  <si>
    <t xml:space="preserve">Dr. Samuel Bossard Mem. Library </t>
  </si>
  <si>
    <t>Gallia</t>
  </si>
  <si>
    <t>Dr. Sloan Library</t>
  </si>
  <si>
    <t>East Palestine Memorial Public Library</t>
  </si>
  <si>
    <t>Elyria Public Library</t>
  </si>
  <si>
    <t xml:space="preserve">Evergreen Community Library </t>
  </si>
  <si>
    <t>Fairport Harbor Public Library</t>
  </si>
  <si>
    <t>Findlay-Hancock Co. Public Library</t>
  </si>
  <si>
    <t>Hancock</t>
  </si>
  <si>
    <t xml:space="preserve">Flesh Public Library </t>
  </si>
  <si>
    <t xml:space="preserve">Forest-Jackson Public Library </t>
  </si>
  <si>
    <t>Fort Recovery Public Library</t>
  </si>
  <si>
    <t xml:space="preserve">Franklin Public Library </t>
  </si>
  <si>
    <t xml:space="preserve">Galion Public Library </t>
  </si>
  <si>
    <t>Garnet A.Wilson Public Library</t>
  </si>
  <si>
    <t>Pike</t>
  </si>
  <si>
    <t>Geauga County Public Library</t>
  </si>
  <si>
    <t xml:space="preserve">Germantown Public Library </t>
  </si>
  <si>
    <t xml:space="preserve">Grafton-Midview Public Library </t>
  </si>
  <si>
    <t xml:space="preserve">Grand Valley Pu Library </t>
  </si>
  <si>
    <t>Grandview Heights Public Library</t>
  </si>
  <si>
    <t>Granville Public Library</t>
  </si>
  <si>
    <t>Greene Co. Public Library</t>
  </si>
  <si>
    <t>Greene</t>
  </si>
  <si>
    <t xml:space="preserve">Greenville Public Library </t>
  </si>
  <si>
    <t>Guernsey Co. Library</t>
  </si>
  <si>
    <t>Guernsey</t>
  </si>
  <si>
    <t xml:space="preserve">Harbor-Topky Memorial Library </t>
  </si>
  <si>
    <t>Hardin Northern Public Library</t>
  </si>
  <si>
    <t>Harris Elmore Public Library</t>
  </si>
  <si>
    <t>Ottawa</t>
  </si>
  <si>
    <t xml:space="preserve">Henderson Memor Library </t>
  </si>
  <si>
    <t>Herbert Wescoat Memorial Library</t>
  </si>
  <si>
    <t>Vinton</t>
  </si>
  <si>
    <t xml:space="preserve">Highland Co Library </t>
  </si>
  <si>
    <t>Holgate Community Library</t>
  </si>
  <si>
    <t>Holmes</t>
  </si>
  <si>
    <t>Hubbard Library</t>
  </si>
  <si>
    <t>Hudson Library &amp; Historic Society</t>
  </si>
  <si>
    <t>Huron Public Library</t>
  </si>
  <si>
    <t>Erie</t>
  </si>
  <si>
    <t>Ida Rupp Public Library</t>
  </si>
  <si>
    <t xml:space="preserve">J.R. Clarke Pub Library </t>
  </si>
  <si>
    <t xml:space="preserve">Jackson City Library </t>
  </si>
  <si>
    <t>Jackson</t>
  </si>
  <si>
    <t xml:space="preserve">Kate Love Simps Library </t>
  </si>
  <si>
    <t>Kaubish Memorial Public Library</t>
  </si>
  <si>
    <t xml:space="preserve">Kent Free Library </t>
  </si>
  <si>
    <t>Portage</t>
  </si>
  <si>
    <t xml:space="preserve">Kingsville Library </t>
  </si>
  <si>
    <t xml:space="preserve">Kinsman Free Public Library </t>
  </si>
  <si>
    <t xml:space="preserve">Kirtland Public Library </t>
  </si>
  <si>
    <t xml:space="preserve">Lebanon Public Library </t>
  </si>
  <si>
    <t xml:space="preserve">Leetonia Commun Library </t>
  </si>
  <si>
    <t xml:space="preserve">Lepper Library </t>
  </si>
  <si>
    <t xml:space="preserve">Liberty Center Library </t>
  </si>
  <si>
    <t>Lima Public Library</t>
  </si>
  <si>
    <t>Logan Co. District</t>
  </si>
  <si>
    <t>Logan Hocking Co. District</t>
  </si>
  <si>
    <t>Hocking</t>
  </si>
  <si>
    <t>Lorain Public Library</t>
  </si>
  <si>
    <t>Loudonville Public Library</t>
  </si>
  <si>
    <t xml:space="preserve">Louisville Publ Library </t>
  </si>
  <si>
    <t>Madison Public Library</t>
  </si>
  <si>
    <t>Mansfield - Richland Co. Public Library</t>
  </si>
  <si>
    <t>Richland</t>
  </si>
  <si>
    <t xml:space="preserve">Marion Lawrence Memorial Library </t>
  </si>
  <si>
    <t>Marion Public Library</t>
  </si>
  <si>
    <t>Marion</t>
  </si>
  <si>
    <t xml:space="preserve">Marvin Memorial Library </t>
  </si>
  <si>
    <t xml:space="preserve">Mary L. Cook Public Library </t>
  </si>
  <si>
    <t xml:space="preserve">Mary Lou Johnson-Hardin Library </t>
  </si>
  <si>
    <t>Marysville Public Library</t>
  </si>
  <si>
    <t>Union</t>
  </si>
  <si>
    <t xml:space="preserve">Mason Public Library </t>
  </si>
  <si>
    <t>Massillon Public Library</t>
  </si>
  <si>
    <t xml:space="preserve">Mccomb Public Library </t>
  </si>
  <si>
    <t xml:space="preserve">Mechanicsburg Library </t>
  </si>
  <si>
    <t>Medina Co. District Library</t>
  </si>
  <si>
    <t>Mercer Co. District Library</t>
  </si>
  <si>
    <t>Middletown Public Library</t>
  </si>
  <si>
    <t xml:space="preserve">Milan-Berlin Library </t>
  </si>
  <si>
    <t xml:space="preserve">Milton Union Library </t>
  </si>
  <si>
    <t xml:space="preserve">Minerva Public Library </t>
  </si>
  <si>
    <t xml:space="preserve">Mohawk Communit Library </t>
  </si>
  <si>
    <t>Molo Regional Library System</t>
  </si>
  <si>
    <t>Monroeville Public Library</t>
  </si>
  <si>
    <t>Montpelier Public Library</t>
  </si>
  <si>
    <t>Williams</t>
  </si>
  <si>
    <t>Morely Library</t>
  </si>
  <si>
    <t>Mount Gilead Public Library</t>
  </si>
  <si>
    <t xml:space="preserve">Mount Sterling Public Library </t>
  </si>
  <si>
    <t>Muskingum Co. Library</t>
  </si>
  <si>
    <t>Muskingum</t>
  </si>
  <si>
    <t>Nelsonville Public Library</t>
  </si>
  <si>
    <t>Athens</t>
  </si>
  <si>
    <t>New Carlisle</t>
  </si>
  <si>
    <t xml:space="preserve">New Madison Library </t>
  </si>
  <si>
    <t>New Straightsville Public Library</t>
  </si>
  <si>
    <t xml:space="preserve">Newcomerstown Library </t>
  </si>
  <si>
    <t>Newton Falls Public Library</t>
  </si>
  <si>
    <t>Nola Regional Library</t>
  </si>
  <si>
    <t>Mahoning</t>
  </si>
  <si>
    <t xml:space="preserve">Normal Memorial Library </t>
  </si>
  <si>
    <t xml:space="preserve">North Baltimore Library </t>
  </si>
  <si>
    <t>North Canton Public Library</t>
  </si>
  <si>
    <t xml:space="preserve">Norwalk Public Library </t>
  </si>
  <si>
    <t>Oak Harbor Public Library</t>
  </si>
  <si>
    <t>Oak Hill Public Library</t>
  </si>
  <si>
    <t>Oberlin Public Library</t>
  </si>
  <si>
    <t>Ohio Vally Area Libraris</t>
  </si>
  <si>
    <t>Orrville Public Library</t>
  </si>
  <si>
    <t>Wayne</t>
  </si>
  <si>
    <t xml:space="preserve">Pataskala Public Library </t>
  </si>
  <si>
    <t>Patrick Henry School District Library</t>
  </si>
  <si>
    <t>Paulding County Carnegie Library</t>
  </si>
  <si>
    <t>Paulding</t>
  </si>
  <si>
    <t>Paulding County Law Library</t>
  </si>
  <si>
    <t>Pemberville Public Library</t>
  </si>
  <si>
    <t xml:space="preserve">Peninsula Library </t>
  </si>
  <si>
    <t xml:space="preserve">Perry Co Dist Library </t>
  </si>
  <si>
    <t>Perry Cook Memorial Public Library</t>
  </si>
  <si>
    <t xml:space="preserve">Perry Public Library </t>
  </si>
  <si>
    <t>Pickaway County Public Library</t>
  </si>
  <si>
    <t>Pickaway</t>
  </si>
  <si>
    <t xml:space="preserve">Pickerington Pu Library </t>
  </si>
  <si>
    <t xml:space="preserve">Plain City Public Library </t>
  </si>
  <si>
    <t>Portage Co. Library</t>
  </si>
  <si>
    <t>Preble Co. Library</t>
  </si>
  <si>
    <t xml:space="preserve">Puskarich Public Library </t>
  </si>
  <si>
    <t xml:space="preserve">Reed Memorial Library </t>
  </si>
  <si>
    <t>Reuben Mcmillan Free Library</t>
  </si>
  <si>
    <t>Richwood-North Union Public Library</t>
  </si>
  <si>
    <t xml:space="preserve">Ridgemont Publi Library </t>
  </si>
  <si>
    <t>Ritter Public Library</t>
  </si>
  <si>
    <t xml:space="preserve">Rock Creek Library </t>
  </si>
  <si>
    <t xml:space="preserve">Rockford Carneg Library </t>
  </si>
  <si>
    <t>Rocky River Public Library</t>
  </si>
  <si>
    <t>Rodman Public Library</t>
  </si>
  <si>
    <t>Rossford Public Library</t>
  </si>
  <si>
    <t xml:space="preserve">Sabina Library </t>
  </si>
  <si>
    <t xml:space="preserve">Saint Paris Pub Library </t>
  </si>
  <si>
    <t>Salem Public Library</t>
  </si>
  <si>
    <t>Salem Township Public Library</t>
  </si>
  <si>
    <t xml:space="preserve">Selover Public Library </t>
  </si>
  <si>
    <t xml:space="preserve">Seneca East Public Library </t>
  </si>
  <si>
    <t xml:space="preserve">Shaker Heights Public Library </t>
  </si>
  <si>
    <t>Solo Regional Library</t>
  </si>
  <si>
    <t>Southwest Public Library</t>
  </si>
  <si>
    <t xml:space="preserve">St Marys Community Public Library </t>
  </si>
  <si>
    <t xml:space="preserve">St.Clairsville Library </t>
  </si>
  <si>
    <t>Stark Co. District Library</t>
  </si>
  <si>
    <t>Steubenville Public Library</t>
  </si>
  <si>
    <t>Jefferson</t>
  </si>
  <si>
    <t>Stow-Munroe Falls Public Library</t>
  </si>
  <si>
    <t xml:space="preserve">Swanton Public Library </t>
  </si>
  <si>
    <t xml:space="preserve">Sylvester Memor Library </t>
  </si>
  <si>
    <t>Taylor Memorial Library</t>
  </si>
  <si>
    <t>Tiffin-Seneca Public Library</t>
  </si>
  <si>
    <t>Toledo-Lucas Co. Public Library</t>
  </si>
  <si>
    <t>Lucus</t>
  </si>
  <si>
    <t>Tuscarawas Co. Public Library</t>
  </si>
  <si>
    <t>Union Township Public Library</t>
  </si>
  <si>
    <t>Upper Arlington Public Library</t>
  </si>
  <si>
    <t>Upper Sandusky Comm. Library</t>
  </si>
  <si>
    <t>Warren Trumbull Co. Library</t>
  </si>
  <si>
    <t>Washington Co Public Library</t>
  </si>
  <si>
    <t>Washington-Centerville Public Library</t>
  </si>
  <si>
    <t>Wayne Co. Public Library</t>
  </si>
  <si>
    <t>Wayne Public Library</t>
  </si>
  <si>
    <t>Way-Perrysburg Public Library</t>
  </si>
  <si>
    <t xml:space="preserve">Wellsville Carnegie Library </t>
  </si>
  <si>
    <t xml:space="preserve">Weston Public Library </t>
  </si>
  <si>
    <t>Willard Memorial Library</t>
  </si>
  <si>
    <t>Williams Co. Public Library</t>
  </si>
  <si>
    <t>Willoughby-Eastlake Public Library</t>
  </si>
  <si>
    <t xml:space="preserve">Wilmington Public Library </t>
  </si>
  <si>
    <t>Wood Co. District Public Library</t>
  </si>
  <si>
    <t xml:space="preserve">Worch Memorial Public Library </t>
  </si>
  <si>
    <t xml:space="preserve">Wornstaff Memor Library </t>
  </si>
  <si>
    <t>Worthington Public Library</t>
  </si>
  <si>
    <t>Wright Memorial Public Library</t>
  </si>
  <si>
    <t>Local Taxes</t>
  </si>
  <si>
    <t>Library and</t>
  </si>
  <si>
    <t>Local</t>
  </si>
  <si>
    <t>Government</t>
  </si>
  <si>
    <t>Support</t>
  </si>
  <si>
    <t>Patrons Fines</t>
  </si>
  <si>
    <t>and Fees</t>
  </si>
  <si>
    <t>Provided to</t>
  </si>
  <si>
    <t>Other Entities</t>
  </si>
  <si>
    <t>Contributions,</t>
  </si>
  <si>
    <t>Gifts, and</t>
  </si>
  <si>
    <t>Donations</t>
  </si>
  <si>
    <t>Earnings on</t>
  </si>
  <si>
    <t>Investments</t>
  </si>
  <si>
    <t xml:space="preserve">Sale of </t>
  </si>
  <si>
    <t>Fixed</t>
  </si>
  <si>
    <t>Financing</t>
  </si>
  <si>
    <t>Sources</t>
  </si>
  <si>
    <t xml:space="preserve">Archbold Community Library </t>
  </si>
  <si>
    <t>Bexley Public Library</t>
  </si>
  <si>
    <t xml:space="preserve">Bluffton-Richland Library </t>
  </si>
  <si>
    <t>Champaign Co. Public Library</t>
  </si>
  <si>
    <t xml:space="preserve">Chillicothe &amp; Ross Co.. Public Library </t>
  </si>
  <si>
    <t xml:space="preserve">Claymont School District Public Library </t>
  </si>
  <si>
    <t xml:space="preserve">Dr. Samuel Bossard Memorial. Library </t>
  </si>
  <si>
    <t>Garnet A. Wilson Public Library</t>
  </si>
  <si>
    <t xml:space="preserve">Grand Valley Public Library </t>
  </si>
  <si>
    <t xml:space="preserve">Henderson Memorial Library </t>
  </si>
  <si>
    <t xml:space="preserve">Holmes Co. Public Library </t>
  </si>
  <si>
    <t xml:space="preserve">Homer-Burlington Library </t>
  </si>
  <si>
    <t xml:space="preserve">Leetonia Community Library </t>
  </si>
  <si>
    <t xml:space="preserve">Louisville Public Library </t>
  </si>
  <si>
    <t xml:space="preserve">Macomb Public Library </t>
  </si>
  <si>
    <t xml:space="preserve">Mohawk Community Library </t>
  </si>
  <si>
    <t>Napoleon Area School Public</t>
  </si>
  <si>
    <t>Ohio Valley Area Library</t>
  </si>
  <si>
    <t xml:space="preserve">Pickerington Public Library </t>
  </si>
  <si>
    <t>Reuben McMillan Free Library</t>
  </si>
  <si>
    <t xml:space="preserve">Ridgemont Public Library </t>
  </si>
  <si>
    <t>Sandusky Library</t>
  </si>
  <si>
    <t xml:space="preserve">St. Clairsville Library </t>
  </si>
  <si>
    <t xml:space="preserve">Sylvester Memorial Library </t>
  </si>
  <si>
    <t>Lucas</t>
  </si>
  <si>
    <t>Twinsburg Public Library</t>
  </si>
  <si>
    <t xml:space="preserve">Wornstaff Memorial Library </t>
  </si>
  <si>
    <t>Employee</t>
  </si>
  <si>
    <t>Fringe</t>
  </si>
  <si>
    <t>Purchased and</t>
  </si>
  <si>
    <t>Contracted</t>
  </si>
  <si>
    <t>Materials and</t>
  </si>
  <si>
    <t>Information</t>
  </si>
  <si>
    <t>Outlay</t>
  </si>
  <si>
    <t xml:space="preserve">Redemption of </t>
  </si>
  <si>
    <t>Principal</t>
  </si>
  <si>
    <t>Interest and</t>
  </si>
  <si>
    <t>Other Fiscal</t>
  </si>
  <si>
    <t>Charges</t>
  </si>
  <si>
    <t>Uses</t>
  </si>
  <si>
    <t xml:space="preserve">Napoleon Area School </t>
  </si>
  <si>
    <t xml:space="preserve">Ashtabula Co District Library </t>
  </si>
  <si>
    <t xml:space="preserve">Claymont School Dist. Public Library </t>
  </si>
  <si>
    <t xml:space="preserve">Dr. Samuel Bossard Memorial Library </t>
  </si>
  <si>
    <t>Hudson Library &amp; Historical Society</t>
  </si>
  <si>
    <t xml:space="preserve">Kate Love Simpson Library </t>
  </si>
  <si>
    <t xml:space="preserve">Chillicothe &amp; Ross Co. Public Library </t>
  </si>
  <si>
    <t xml:space="preserve">J.R. Clarke Public Library </t>
  </si>
  <si>
    <t xml:space="preserve">McComb Public Library </t>
  </si>
  <si>
    <t>New Carlisle Library</t>
  </si>
  <si>
    <t>New London Library</t>
  </si>
  <si>
    <t>Ohio Valley Area Libraries</t>
  </si>
  <si>
    <t xml:space="preserve">Rockford Carnegie Library </t>
  </si>
  <si>
    <t xml:space="preserve">St. Marys Community Public Library </t>
  </si>
  <si>
    <t>Upper Sandusky Community Library</t>
  </si>
  <si>
    <t>Washington Co. Public Library</t>
  </si>
  <si>
    <t xml:space="preserve">Saint Paris Public Library </t>
  </si>
  <si>
    <t xml:space="preserve">Perry Co. Dist Library </t>
  </si>
  <si>
    <t xml:space="preserve">Highland Co. Library </t>
  </si>
  <si>
    <t xml:space="preserve">Ashtabula Co. District Library </t>
  </si>
  <si>
    <t>Intergovern-</t>
  </si>
  <si>
    <t>mental</t>
  </si>
  <si>
    <t>Program Receipts</t>
  </si>
  <si>
    <t>General Receipts</t>
  </si>
  <si>
    <t>Monrow</t>
  </si>
  <si>
    <t>Adams County Public Library</t>
  </si>
  <si>
    <t>Archbold Community Library</t>
  </si>
  <si>
    <t>Ashtabula Co. District Library</t>
  </si>
  <si>
    <t>Auglaize Co. District Library</t>
  </si>
  <si>
    <t>Barberton Public Library</t>
  </si>
  <si>
    <t>Bellaire Public Library</t>
  </si>
  <si>
    <t>Bowerston Library</t>
  </si>
  <si>
    <t>Carroll Co. District Library</t>
  </si>
  <si>
    <t>Chillicothe &amp; Ross Co.. Public Library</t>
  </si>
  <si>
    <t>Claymont School District Public Library</t>
  </si>
  <si>
    <t>Community Library</t>
  </si>
  <si>
    <t>Crestline Public Library</t>
  </si>
  <si>
    <t>Flesh Public Library</t>
  </si>
  <si>
    <t>Evergreen Community Library</t>
  </si>
  <si>
    <t>Franklin Public Library</t>
  </si>
  <si>
    <t>Galion Public Library</t>
  </si>
  <si>
    <t>Germantown Public Library</t>
  </si>
  <si>
    <t>Highland Co. Library</t>
  </si>
  <si>
    <t>Kate Love Simps Library</t>
  </si>
  <si>
    <t>Lebanon Public Library</t>
  </si>
  <si>
    <t>Leetonia Common Library</t>
  </si>
  <si>
    <t>Jackson City Library</t>
  </si>
  <si>
    <t>Grafton-Midview Public Library</t>
  </si>
  <si>
    <t>Mary L. Cook Public Library</t>
  </si>
  <si>
    <t>Mary Lou Johnson-Hardin Library</t>
  </si>
  <si>
    <t>Mason Public Library</t>
  </si>
  <si>
    <t>Mechanicsburg Library</t>
  </si>
  <si>
    <t>Minerva Public Library</t>
  </si>
  <si>
    <t>Monroe County D Library</t>
  </si>
  <si>
    <t>North Baltimore Library</t>
  </si>
  <si>
    <t>Peninsula Library</t>
  </si>
  <si>
    <t>Perry Co Dist Library</t>
  </si>
  <si>
    <t>Plain City Public Library</t>
  </si>
  <si>
    <t>Marvin Memorial Library</t>
  </si>
  <si>
    <t>Mount Sterling Public Library</t>
  </si>
  <si>
    <t>Puskarich Public Library</t>
  </si>
  <si>
    <t>Ridgemont Public Library</t>
  </si>
  <si>
    <t>Rock Creek Library</t>
  </si>
  <si>
    <t>Rockford Carneg Library</t>
  </si>
  <si>
    <t>Saint Paris Pub Library</t>
  </si>
  <si>
    <t>Selover Public Library</t>
  </si>
  <si>
    <t>Seneca East Public Library</t>
  </si>
  <si>
    <t>St Marys Community Public Library</t>
  </si>
  <si>
    <t>St.Clairsville Library</t>
  </si>
  <si>
    <t>Swanton Public Library</t>
  </si>
  <si>
    <t>Wilmington Public Library</t>
  </si>
  <si>
    <t>Wornstaff Memorial Library</t>
  </si>
  <si>
    <t>Summary Information from the Statement of Activities - Cash Basis</t>
  </si>
  <si>
    <t>Governmental Activities</t>
  </si>
  <si>
    <t>All Libraries Reporting Using GASB 34 Format</t>
  </si>
  <si>
    <t>Operating</t>
  </si>
  <si>
    <t>Grants</t>
  </si>
  <si>
    <t>Cash</t>
  </si>
  <si>
    <t>Charges for</t>
  </si>
  <si>
    <t>Contributions</t>
  </si>
  <si>
    <t>and Interest</t>
  </si>
  <si>
    <t>Net</t>
  </si>
  <si>
    <t>Special and</t>
  </si>
  <si>
    <t>Changes</t>
  </si>
  <si>
    <t>Net Assets</t>
  </si>
  <si>
    <t>Other Local</t>
  </si>
  <si>
    <t>Unrestricted</t>
  </si>
  <si>
    <t>Investment</t>
  </si>
  <si>
    <t>Debt</t>
  </si>
  <si>
    <t>Transfers and</t>
  </si>
  <si>
    <t>Extraordinary</t>
  </si>
  <si>
    <t>In Net</t>
  </si>
  <si>
    <t>Beginning</t>
  </si>
  <si>
    <t>(Disbursements)</t>
  </si>
  <si>
    <t>Taxes</t>
  </si>
  <si>
    <t>Earnings</t>
  </si>
  <si>
    <t>Proceeds</t>
  </si>
  <si>
    <t>Advances In/(Out)</t>
  </si>
  <si>
    <t>Items</t>
  </si>
  <si>
    <t>of Year</t>
  </si>
  <si>
    <t>End of Year</t>
  </si>
  <si>
    <t>Cleveland Heights University Public Library</t>
  </si>
  <si>
    <t>Cleveland Public Library</t>
  </si>
  <si>
    <t>Ella M. Everhard Public Library</t>
  </si>
  <si>
    <t xml:space="preserve">Martins Ferry Public Library </t>
  </si>
  <si>
    <t xml:space="preserve">Mount Vernon &amp; Knox Public Library </t>
  </si>
  <si>
    <t>Summint</t>
  </si>
  <si>
    <t>Meigs</t>
  </si>
  <si>
    <t>For the Year Ended December 31, 2007</t>
  </si>
  <si>
    <t>Akron Summit County Public Library</t>
  </si>
  <si>
    <t>Allen County Law Library</t>
  </si>
  <si>
    <t>*</t>
  </si>
  <si>
    <t>Columbus Law Library</t>
  </si>
  <si>
    <t>Delaware County Law Library</t>
  </si>
  <si>
    <t>Fairfield County District Library</t>
  </si>
  <si>
    <t>Lakewood Public Library</t>
  </si>
  <si>
    <t>Mahoning Co. Law Library</t>
  </si>
  <si>
    <t>Martins Ferry Public Library</t>
  </si>
  <si>
    <t>McKinley Memorial Library</t>
  </si>
  <si>
    <t>NEO Regional Library</t>
  </si>
  <si>
    <t>Newark Public Library</t>
  </si>
  <si>
    <t>Northwest Regional Library</t>
  </si>
  <si>
    <t>Pickaway Public Library</t>
  </si>
  <si>
    <t>Porter Public Library</t>
  </si>
  <si>
    <t>Public Library of Cincinnati and Hamilton Co.</t>
  </si>
  <si>
    <t>Cincinnati</t>
  </si>
  <si>
    <t>Southeast Regional Library</t>
  </si>
  <si>
    <t>Tipp-City Public Library</t>
  </si>
  <si>
    <t>Troy-Miami Co. Public Library</t>
  </si>
  <si>
    <t>William Ammer Memorial Law Library</t>
  </si>
  <si>
    <t xml:space="preserve"> Hardin  </t>
  </si>
  <si>
    <t xml:space="preserve">Amherst Public Library </t>
  </si>
  <si>
    <t xml:space="preserve">Barberton Public Library </t>
  </si>
  <si>
    <t xml:space="preserve">Brown Co. Public Library </t>
  </si>
  <si>
    <t xml:space="preserve">Clyde Public Library </t>
  </si>
  <si>
    <t xml:space="preserve">Coldwater Publi Library </t>
  </si>
  <si>
    <t xml:space="preserve">Columbiana Library </t>
  </si>
  <si>
    <t xml:space="preserve">Community Library </t>
  </si>
  <si>
    <t xml:space="preserve">East Cleveland Public Library </t>
  </si>
  <si>
    <t xml:space="preserve">East Palestine Memorial Library </t>
  </si>
  <si>
    <t xml:space="preserve">Findlay-Hancock Public Library </t>
  </si>
  <si>
    <t xml:space="preserve">Girard Free Library </t>
  </si>
  <si>
    <t xml:space="preserve">Gnadenhutten Public Library </t>
  </si>
  <si>
    <t xml:space="preserve">Herrick Memorial Library </t>
  </si>
  <si>
    <t xml:space="preserve">Hubbard Library </t>
  </si>
  <si>
    <t xml:space="preserve">Hurt Battelle Memorial Library </t>
  </si>
  <si>
    <t xml:space="preserve">Massillon Public Library </t>
  </si>
  <si>
    <t xml:space="preserve">Nelsonville Public Library </t>
  </si>
  <si>
    <t xml:space="preserve">New Carlisle Public Library </t>
  </si>
  <si>
    <t xml:space="preserve">New Straitsville Public Library </t>
  </si>
  <si>
    <t xml:space="preserve">Oberlin Public Library </t>
  </si>
  <si>
    <t xml:space="preserve">Patrick Henry School District Library </t>
  </si>
  <si>
    <t xml:space="preserve">Pemberville Public Library </t>
  </si>
  <si>
    <t xml:space="preserve">Ritter Public Library </t>
  </si>
  <si>
    <t xml:space="preserve">Wauseon Public Library </t>
  </si>
  <si>
    <t xml:space="preserve">Way-Perrysburg Public Library </t>
  </si>
  <si>
    <t xml:space="preserve">Wickliffe Public Library </t>
  </si>
  <si>
    <t xml:space="preserve">Wright Memorial Public Library </t>
  </si>
  <si>
    <t xml:space="preserve">Monroe Co. District Library </t>
  </si>
  <si>
    <t xml:space="preserve">Meigs Co. Public Library </t>
  </si>
  <si>
    <t xml:space="preserve">Mercer Co. District Public Library </t>
  </si>
  <si>
    <t xml:space="preserve">Adams </t>
  </si>
  <si>
    <t xml:space="preserve">Allen </t>
  </si>
  <si>
    <t xml:space="preserve">Ashtabula </t>
  </si>
  <si>
    <t xml:space="preserve">Athens </t>
  </si>
  <si>
    <t xml:space="preserve">Auglaize </t>
  </si>
  <si>
    <t xml:space="preserve">Belmont </t>
  </si>
  <si>
    <t xml:space="preserve">Brown County Public Library </t>
  </si>
  <si>
    <t xml:space="preserve">Brown </t>
  </si>
  <si>
    <t xml:space="preserve">Carroll </t>
  </si>
  <si>
    <t xml:space="preserve">Champaign </t>
  </si>
  <si>
    <t xml:space="preserve">Clark </t>
  </si>
  <si>
    <t xml:space="preserve">Clinton </t>
  </si>
  <si>
    <t xml:space="preserve">Columbiana </t>
  </si>
  <si>
    <t xml:space="preserve">Crawford </t>
  </si>
  <si>
    <t xml:space="preserve">Cuyahoga </t>
  </si>
  <si>
    <t xml:space="preserve">Darke </t>
  </si>
  <si>
    <t xml:space="preserve">Delaware </t>
  </si>
  <si>
    <t xml:space="preserve">Erie </t>
  </si>
  <si>
    <t xml:space="preserve">Fairfield </t>
  </si>
  <si>
    <t xml:space="preserve">Fulton </t>
  </si>
  <si>
    <t xml:space="preserve">Geauga </t>
  </si>
  <si>
    <t xml:space="preserve">Hancock </t>
  </si>
  <si>
    <t xml:space="preserve">Hardin </t>
  </si>
  <si>
    <t xml:space="preserve">Harrison </t>
  </si>
  <si>
    <t xml:space="preserve">Henry </t>
  </si>
  <si>
    <t xml:space="preserve">Highland </t>
  </si>
  <si>
    <t xml:space="preserve">Holmes </t>
  </si>
  <si>
    <t xml:space="preserve">Huron </t>
  </si>
  <si>
    <t xml:space="preserve">Jackson </t>
  </si>
  <si>
    <t xml:space="preserve">Lake </t>
  </si>
  <si>
    <t xml:space="preserve">Licking </t>
  </si>
  <si>
    <t xml:space="preserve">Lorain </t>
  </si>
  <si>
    <t xml:space="preserve">Madison </t>
  </si>
  <si>
    <t xml:space="preserve">Meigs County Public Library </t>
  </si>
  <si>
    <t xml:space="preserve">Meigs </t>
  </si>
  <si>
    <t xml:space="preserve">Coldwater Public Library </t>
  </si>
  <si>
    <t xml:space="preserve">Mercer </t>
  </si>
  <si>
    <t xml:space="preserve">Miami </t>
  </si>
  <si>
    <t xml:space="preserve">Monroe County Library </t>
  </si>
  <si>
    <t xml:space="preserve">Monroe </t>
  </si>
  <si>
    <t xml:space="preserve">Montgomery </t>
  </si>
  <si>
    <t xml:space="preserve">Morgan </t>
  </si>
  <si>
    <t xml:space="preserve">Morrow </t>
  </si>
  <si>
    <t xml:space="preserve">Noble </t>
  </si>
  <si>
    <t xml:space="preserve">Perry </t>
  </si>
  <si>
    <t xml:space="preserve">Perry Co District Library </t>
  </si>
  <si>
    <t xml:space="preserve">Portage </t>
  </si>
  <si>
    <t xml:space="preserve">Preble </t>
  </si>
  <si>
    <t xml:space="preserve">Richland </t>
  </si>
  <si>
    <t xml:space="preserve">Sandusky </t>
  </si>
  <si>
    <t xml:space="preserve">Seneca </t>
  </si>
  <si>
    <t xml:space="preserve">Stark </t>
  </si>
  <si>
    <t xml:space="preserve">Summit </t>
  </si>
  <si>
    <t xml:space="preserve">Bristol Public Library </t>
  </si>
  <si>
    <t xml:space="preserve">Trumbull </t>
  </si>
  <si>
    <t xml:space="preserve">Tuscarawas </t>
  </si>
  <si>
    <t xml:space="preserve">Warren </t>
  </si>
  <si>
    <t xml:space="preserve">Wood </t>
  </si>
  <si>
    <t xml:space="preserve">Wyandot </t>
  </si>
  <si>
    <t xml:space="preserve">Chillicothe &amp; Ross County. Public Library </t>
  </si>
  <si>
    <t xml:space="preserve">Ross </t>
  </si>
  <si>
    <t xml:space="preserve">Gallia </t>
  </si>
  <si>
    <t/>
  </si>
  <si>
    <t>Transfers Out</t>
  </si>
  <si>
    <t xml:space="preserve">Advances Out </t>
  </si>
  <si>
    <t xml:space="preserve">Monroe County District Library </t>
  </si>
  <si>
    <t>Transfers In</t>
  </si>
  <si>
    <t xml:space="preserve">Advances In </t>
  </si>
  <si>
    <t xml:space="preserve">Alexandria Public Library </t>
  </si>
  <si>
    <t>Ashtabula Co District Library</t>
  </si>
  <si>
    <t>East Cleveland Public Library</t>
  </si>
  <si>
    <t>Findlay-Hancock Public Library</t>
  </si>
  <si>
    <t>Highland Co Library</t>
  </si>
  <si>
    <t>Claymont School Dist.Public Library</t>
  </si>
  <si>
    <t>Leetonia Community Library</t>
  </si>
  <si>
    <t>Rockford Carnegie Library</t>
  </si>
  <si>
    <t>Monroe County District Library</t>
  </si>
  <si>
    <t>Perry Co District Library</t>
  </si>
  <si>
    <t>Louisville Public Library</t>
  </si>
  <si>
    <t>Chillicothe &amp; Ross County. Public Library</t>
  </si>
  <si>
    <t>Saint Paris Public Library</t>
  </si>
  <si>
    <t>Receipts /</t>
  </si>
  <si>
    <t>General Fund Revenues</t>
  </si>
  <si>
    <t>General Fund Expenditures</t>
  </si>
  <si>
    <t>Governmental Fund Revenues</t>
  </si>
  <si>
    <t>Governmental Fund Expenditures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</si>
</sst>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\(0\)"/>
    <numFmt numFmtId="169" formatCode="&quot;$&quot;#,##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5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39" fontId="4" fillId="0" borderId="10" xfId="0" applyNumberFormat="1" applyFont="1" applyBorder="1" applyAlignment="1">
      <alignment horizontal="center" wrapText="1"/>
    </xf>
    <xf numFmtId="3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7" fontId="4" fillId="0" borderId="0" xfId="0" applyNumberFormat="1" applyFont="1" applyBorder="1" applyAlignment="1">
      <alignment/>
    </xf>
    <xf numFmtId="39" fontId="4" fillId="0" borderId="0" xfId="0" applyNumberFormat="1" applyFont="1" applyBorder="1" applyAlignment="1">
      <alignment horizontal="center"/>
    </xf>
    <xf numFmtId="39" fontId="4" fillId="0" borderId="0" xfId="0" applyNumberFormat="1" applyFont="1" applyBorder="1" applyAlignment="1">
      <alignment horizontal="center" wrapText="1"/>
    </xf>
    <xf numFmtId="37" fontId="4" fillId="0" borderId="0" xfId="0" applyNumberFormat="1" applyFont="1" applyBorder="1" applyAlignment="1">
      <alignment/>
    </xf>
    <xf numFmtId="5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right"/>
    </xf>
    <xf numFmtId="37" fontId="4" fillId="0" borderId="0" xfId="0" applyNumberFormat="1" applyFont="1" applyBorder="1" applyAlignment="1">
      <alignment horizontal="right"/>
    </xf>
    <xf numFmtId="37" fontId="4" fillId="0" borderId="11" xfId="0" applyNumberFormat="1" applyFont="1" applyBorder="1" applyAlignment="1">
      <alignment/>
    </xf>
    <xf numFmtId="5" fontId="4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37" fontId="4" fillId="0" borderId="0" xfId="0" applyNumberFormat="1" applyFont="1" applyFill="1" applyAlignment="1">
      <alignment horizontal="left"/>
    </xf>
    <xf numFmtId="39" fontId="4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10" fontId="4" fillId="0" borderId="0" xfId="0" applyNumberFormat="1" applyFont="1" applyFill="1" applyAlignment="1">
      <alignment/>
    </xf>
    <xf numFmtId="5" fontId="4" fillId="0" borderId="0" xfId="0" applyNumberFormat="1" applyFont="1" applyBorder="1" applyAlignment="1">
      <alignment/>
    </xf>
    <xf numFmtId="0" fontId="41" fillId="0" borderId="0" xfId="0" applyFont="1" applyAlignment="1">
      <alignment/>
    </xf>
    <xf numFmtId="0" fontId="4" fillId="0" borderId="0" xfId="0" applyFont="1" applyBorder="1" applyAlignment="1">
      <alignment wrapText="1"/>
    </xf>
    <xf numFmtId="5" fontId="41" fillId="0" borderId="0" xfId="0" applyNumberFormat="1" applyFont="1" applyAlignment="1">
      <alignment/>
    </xf>
    <xf numFmtId="5" fontId="4" fillId="0" borderId="0" xfId="0" applyNumberFormat="1" applyFont="1" applyBorder="1" applyAlignment="1">
      <alignment wrapText="1"/>
    </xf>
    <xf numFmtId="37" fontId="41" fillId="0" borderId="0" xfId="0" applyNumberFormat="1" applyFont="1" applyAlignment="1">
      <alignment/>
    </xf>
    <xf numFmtId="37" fontId="4" fillId="0" borderId="0" xfId="0" applyNumberFormat="1" applyFont="1" applyBorder="1" applyAlignment="1">
      <alignment wrapText="1"/>
    </xf>
    <xf numFmtId="37" fontId="5" fillId="0" borderId="0" xfId="0" applyNumberFormat="1" applyFont="1" applyFill="1" applyBorder="1" applyAlignment="1">
      <alignment wrapText="1"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Alignment="1">
      <alignment/>
    </xf>
    <xf numFmtId="37" fontId="4" fillId="0" borderId="0" xfId="0" applyNumberFormat="1" applyFont="1" applyBorder="1" applyAlignment="1">
      <alignment horizontal="center" wrapText="1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Alignment="1">
      <alignment horizontal="right"/>
    </xf>
    <xf numFmtId="37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39" fontId="4" fillId="0" borderId="0" xfId="0" applyNumberFormat="1" applyFont="1" applyBorder="1" applyAlignment="1">
      <alignment wrapText="1"/>
    </xf>
    <xf numFmtId="37" fontId="4" fillId="0" borderId="11" xfId="0" applyNumberFormat="1" applyFont="1" applyBorder="1" applyAlignment="1">
      <alignment/>
    </xf>
    <xf numFmtId="5" fontId="4" fillId="0" borderId="0" xfId="0" applyNumberFormat="1" applyFont="1" applyBorder="1" applyAlignment="1">
      <alignment/>
    </xf>
    <xf numFmtId="3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4" fillId="0" borderId="10" xfId="0" applyNumberFormat="1" applyFont="1" applyBorder="1" applyAlignment="1">
      <alignment horizontal="center"/>
    </xf>
    <xf numFmtId="5" fontId="0" fillId="0" borderId="0" xfId="0" applyNumberFormat="1" applyBorder="1" applyAlignment="1">
      <alignment/>
    </xf>
    <xf numFmtId="37" fontId="4" fillId="0" borderId="0" xfId="0" applyNumberFormat="1" applyFont="1" applyBorder="1" applyAlignment="1">
      <alignment horizontal="left"/>
    </xf>
    <xf numFmtId="39" fontId="4" fillId="0" borderId="1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0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2"/>
  <sheetViews>
    <sheetView view="pageBreakPreview" zoomScale="110" zoomScaleNormal="120" zoomScaleSheetLayoutView="110" zoomScalePageLayoutView="0" workbookViewId="0" topLeftCell="A1">
      <selection activeCell="A9" sqref="A9"/>
    </sheetView>
  </sheetViews>
  <sheetFormatPr defaultColWidth="9.140625" defaultRowHeight="12.75"/>
  <cols>
    <col min="1" max="1" width="32.00390625" style="10" customWidth="1"/>
    <col min="2" max="2" width="1.28515625" style="10" customWidth="1"/>
    <col min="3" max="3" width="13.7109375" style="10" customWidth="1"/>
    <col min="4" max="4" width="1.28515625" style="10" customWidth="1"/>
    <col min="5" max="5" width="11.7109375" style="51" customWidth="1"/>
    <col min="6" max="6" width="1.28515625" style="52" customWidth="1"/>
    <col min="7" max="7" width="11.7109375" style="51" customWidth="1"/>
    <col min="8" max="8" width="1.28515625" style="52" customWidth="1"/>
    <col min="9" max="9" width="11.7109375" style="51" customWidth="1"/>
    <col min="10" max="10" width="1.28515625" style="52" customWidth="1"/>
    <col min="11" max="11" width="11.7109375" style="51" customWidth="1"/>
    <col min="12" max="12" width="1.28515625" style="52" customWidth="1"/>
    <col min="13" max="13" width="11.7109375" style="51" customWidth="1"/>
    <col min="14" max="14" width="1.28515625" style="52" customWidth="1"/>
    <col min="15" max="15" width="11.140625" style="51" customWidth="1"/>
    <col min="16" max="16" width="1.28515625" style="52" customWidth="1"/>
    <col min="17" max="17" width="11.00390625" style="51" customWidth="1"/>
    <col min="18" max="18" width="1.28515625" style="52" customWidth="1"/>
    <col min="19" max="19" width="11.00390625" style="51" customWidth="1"/>
    <col min="20" max="20" width="1.28515625" style="52" customWidth="1"/>
    <col min="21" max="21" width="11.00390625" style="51" customWidth="1"/>
    <col min="22" max="22" width="1.28515625" style="52" customWidth="1"/>
    <col min="23" max="23" width="10.57421875" style="51" bestFit="1" customWidth="1"/>
    <col min="24" max="24" width="1.28515625" style="52" customWidth="1"/>
    <col min="25" max="25" width="14.00390625" style="51" bestFit="1" customWidth="1"/>
    <col min="26" max="26" width="1.28515625" style="52" customWidth="1"/>
    <col min="27" max="27" width="11.00390625" style="51" customWidth="1"/>
    <col min="28" max="28" width="1.28515625" style="52" customWidth="1"/>
    <col min="29" max="29" width="11.00390625" style="51" customWidth="1"/>
    <col min="30" max="30" width="1.28515625" style="52" customWidth="1"/>
    <col min="31" max="31" width="10.7109375" style="51" customWidth="1"/>
    <col min="32" max="32" width="1.28515625" style="52" customWidth="1"/>
    <col min="33" max="33" width="12.28125" style="51" bestFit="1" customWidth="1"/>
    <col min="34" max="16384" width="9.140625" style="10" customWidth="1"/>
  </cols>
  <sheetData>
    <row r="1" spans="1:33" ht="12" customHeight="1">
      <c r="A1" s="57" t="s">
        <v>454</v>
      </c>
      <c r="B1" s="57"/>
      <c r="C1" s="57"/>
      <c r="D1" s="57"/>
      <c r="E1" s="57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</row>
    <row r="2" spans="1:33" ht="12" customHeight="1">
      <c r="A2" s="16" t="s">
        <v>455</v>
      </c>
      <c r="B2" s="16"/>
      <c r="C2" s="16"/>
      <c r="D2" s="16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ht="12" customHeight="1">
      <c r="A3" s="16" t="s">
        <v>490</v>
      </c>
      <c r="B3" s="16"/>
      <c r="C3" s="16"/>
      <c r="D3" s="16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3" ht="12" customHeight="1">
      <c r="A4" s="16" t="s">
        <v>8</v>
      </c>
      <c r="B4" s="16"/>
      <c r="C4" s="16"/>
      <c r="D4" s="16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</row>
    <row r="5" spans="2:33" ht="12" customHeight="1">
      <c r="B5" s="16"/>
      <c r="C5" s="16"/>
      <c r="D5" s="16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pans="1:33" ht="12" customHeight="1">
      <c r="A6" s="13" t="s">
        <v>456</v>
      </c>
      <c r="B6" s="16"/>
      <c r="C6" s="16"/>
      <c r="D6" s="16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12" customHeight="1">
      <c r="A7" s="16"/>
      <c r="B7" s="16"/>
      <c r="C7" s="16"/>
      <c r="D7" s="16"/>
      <c r="E7" s="47"/>
      <c r="F7" s="47"/>
      <c r="G7" s="58" t="s">
        <v>404</v>
      </c>
      <c r="H7" s="58"/>
      <c r="I7" s="58"/>
      <c r="J7" s="58"/>
      <c r="K7" s="58"/>
      <c r="L7" s="19"/>
      <c r="M7" s="19"/>
      <c r="N7" s="19"/>
      <c r="O7" s="58" t="s">
        <v>405</v>
      </c>
      <c r="P7" s="58"/>
      <c r="Q7" s="58"/>
      <c r="R7" s="58"/>
      <c r="S7" s="58"/>
      <c r="T7" s="58"/>
      <c r="U7" s="58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ht="12" customHeight="1">
      <c r="A8" s="16"/>
      <c r="B8" s="16"/>
      <c r="C8" s="16"/>
      <c r="D8" s="16"/>
      <c r="E8" s="47"/>
      <c r="F8" s="47"/>
      <c r="G8" s="47"/>
      <c r="H8" s="47"/>
      <c r="I8" s="17" t="s">
        <v>457</v>
      </c>
      <c r="J8" s="47"/>
      <c r="K8" s="47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4:34" ht="12" customHeight="1">
      <c r="D9" s="16"/>
      <c r="E9" s="47"/>
      <c r="F9" s="47"/>
      <c r="G9" s="47"/>
      <c r="H9" s="47"/>
      <c r="I9" s="17" t="s">
        <v>458</v>
      </c>
      <c r="J9" s="47"/>
      <c r="K9" s="47"/>
      <c r="L9" s="19"/>
      <c r="M9" s="17" t="s">
        <v>463</v>
      </c>
      <c r="N9" s="47"/>
      <c r="O9" s="17" t="s">
        <v>32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19"/>
      <c r="AA9" s="17" t="s">
        <v>464</v>
      </c>
      <c r="AB9" s="47"/>
      <c r="AC9" s="17" t="s">
        <v>465</v>
      </c>
      <c r="AD9" s="47"/>
      <c r="AE9" s="17" t="s">
        <v>466</v>
      </c>
      <c r="AF9" s="47"/>
      <c r="AG9" s="17" t="s">
        <v>463</v>
      </c>
      <c r="AH9" s="17"/>
    </row>
    <row r="10" spans="1:34" ht="12" customHeight="1">
      <c r="A10" s="15"/>
      <c r="B10" s="15"/>
      <c r="C10" s="16"/>
      <c r="D10" s="16"/>
      <c r="E10" s="47"/>
      <c r="F10" s="47"/>
      <c r="G10" s="17" t="s">
        <v>460</v>
      </c>
      <c r="H10" s="47"/>
      <c r="I10" s="17" t="s">
        <v>461</v>
      </c>
      <c r="J10" s="47"/>
      <c r="K10" s="17" t="s">
        <v>31</v>
      </c>
      <c r="L10" s="19"/>
      <c r="M10" s="17" t="s">
        <v>624</v>
      </c>
      <c r="N10" s="47"/>
      <c r="O10" s="17" t="s">
        <v>467</v>
      </c>
      <c r="P10" s="47"/>
      <c r="Q10" s="17" t="s">
        <v>468</v>
      </c>
      <c r="R10" s="47"/>
      <c r="S10" s="17" t="s">
        <v>469</v>
      </c>
      <c r="T10" s="47"/>
      <c r="U10" s="47"/>
      <c r="V10" s="47"/>
      <c r="W10" s="17" t="s">
        <v>470</v>
      </c>
      <c r="X10" s="47"/>
      <c r="Y10" s="17" t="s">
        <v>471</v>
      </c>
      <c r="Z10" s="19"/>
      <c r="AA10" s="17" t="s">
        <v>472</v>
      </c>
      <c r="AB10" s="47"/>
      <c r="AC10" s="17" t="s">
        <v>473</v>
      </c>
      <c r="AD10" s="47"/>
      <c r="AE10" s="17" t="s">
        <v>474</v>
      </c>
      <c r="AF10" s="47"/>
      <c r="AG10" s="17" t="s">
        <v>33</v>
      </c>
      <c r="AH10" s="17"/>
    </row>
    <row r="11" spans="1:34" ht="12" customHeight="1">
      <c r="A11" s="6" t="s">
        <v>9</v>
      </c>
      <c r="B11" s="15"/>
      <c r="C11" s="55" t="s">
        <v>7</v>
      </c>
      <c r="D11" s="16"/>
      <c r="E11" s="30" t="s">
        <v>459</v>
      </c>
      <c r="F11" s="48"/>
      <c r="G11" s="11" t="s">
        <v>30</v>
      </c>
      <c r="H11" s="48"/>
      <c r="I11" s="11" t="s">
        <v>462</v>
      </c>
      <c r="J11" s="48"/>
      <c r="K11" s="11" t="s">
        <v>458</v>
      </c>
      <c r="L11" s="19"/>
      <c r="M11" s="11" t="s">
        <v>475</v>
      </c>
      <c r="N11" s="48"/>
      <c r="O11" s="11" t="s">
        <v>476</v>
      </c>
      <c r="P11" s="48"/>
      <c r="Q11" s="11" t="s">
        <v>458</v>
      </c>
      <c r="R11" s="48"/>
      <c r="S11" s="11" t="s">
        <v>477</v>
      </c>
      <c r="T11" s="48"/>
      <c r="U11" s="11" t="s">
        <v>0</v>
      </c>
      <c r="V11" s="48"/>
      <c r="W11" s="11" t="s">
        <v>478</v>
      </c>
      <c r="X11" s="48"/>
      <c r="Y11" s="11" t="s">
        <v>479</v>
      </c>
      <c r="Z11" s="19"/>
      <c r="AA11" s="11" t="s">
        <v>480</v>
      </c>
      <c r="AB11" s="48"/>
      <c r="AC11" s="11" t="s">
        <v>33</v>
      </c>
      <c r="AD11" s="48"/>
      <c r="AE11" s="11" t="s">
        <v>481</v>
      </c>
      <c r="AF11" s="48"/>
      <c r="AG11" s="11" t="s">
        <v>482</v>
      </c>
      <c r="AH11" s="18"/>
    </row>
    <row r="12" spans="1:33" ht="12" customHeight="1" hidden="1">
      <c r="A12" s="24" t="s">
        <v>407</v>
      </c>
      <c r="B12" s="33"/>
      <c r="C12" s="23" t="s">
        <v>43</v>
      </c>
      <c r="D12" s="23"/>
      <c r="E12" s="49">
        <v>0</v>
      </c>
      <c r="F12" s="49"/>
      <c r="G12" s="49">
        <v>0</v>
      </c>
      <c r="H12" s="49"/>
      <c r="I12" s="49">
        <v>0</v>
      </c>
      <c r="J12" s="49"/>
      <c r="K12" s="49">
        <v>0</v>
      </c>
      <c r="L12" s="49"/>
      <c r="M12" s="49">
        <v>0</v>
      </c>
      <c r="N12" s="49"/>
      <c r="O12" s="49">
        <v>0</v>
      </c>
      <c r="P12" s="49"/>
      <c r="Q12" s="49">
        <v>0</v>
      </c>
      <c r="R12" s="49"/>
      <c r="S12" s="49">
        <v>0</v>
      </c>
      <c r="T12" s="49"/>
      <c r="U12" s="49">
        <v>0</v>
      </c>
      <c r="V12" s="49"/>
      <c r="W12" s="49">
        <v>0</v>
      </c>
      <c r="X12" s="49"/>
      <c r="Y12" s="49">
        <v>0</v>
      </c>
      <c r="Z12" s="49"/>
      <c r="AA12" s="49">
        <v>0</v>
      </c>
      <c r="AB12" s="49"/>
      <c r="AC12" s="49">
        <v>0</v>
      </c>
      <c r="AD12" s="19"/>
      <c r="AE12" s="49">
        <v>0</v>
      </c>
      <c r="AF12" s="19"/>
      <c r="AG12" s="49">
        <f>AE12+AC12</f>
        <v>0</v>
      </c>
    </row>
    <row r="13" spans="1:34" s="56" customFormat="1" ht="12" customHeight="1">
      <c r="A13" s="4" t="s">
        <v>407</v>
      </c>
      <c r="B13" s="4"/>
      <c r="C13" s="4" t="s">
        <v>43</v>
      </c>
      <c r="D13" s="4"/>
      <c r="E13" s="4">
        <v>974849.4</v>
      </c>
      <c r="F13" s="4"/>
      <c r="G13" s="4">
        <v>34179.34</v>
      </c>
      <c r="H13" s="4"/>
      <c r="I13" s="4">
        <v>0</v>
      </c>
      <c r="J13" s="4"/>
      <c r="K13" s="4">
        <v>0</v>
      </c>
      <c r="L13" s="4"/>
      <c r="M13" s="4">
        <v>-940670.06</v>
      </c>
      <c r="N13" s="4"/>
      <c r="O13" s="4">
        <v>0</v>
      </c>
      <c r="P13" s="4"/>
      <c r="Q13" s="4">
        <v>997634.82</v>
      </c>
      <c r="R13" s="4"/>
      <c r="S13" s="4">
        <v>85673.13</v>
      </c>
      <c r="T13" s="4"/>
      <c r="U13" s="4">
        <v>237.59</v>
      </c>
      <c r="V13" s="4"/>
      <c r="W13" s="4">
        <v>0</v>
      </c>
      <c r="X13" s="4"/>
      <c r="Y13" s="4">
        <v>0</v>
      </c>
      <c r="Z13" s="4"/>
      <c r="AA13" s="4">
        <v>0</v>
      </c>
      <c r="AB13" s="4"/>
      <c r="AC13" s="4">
        <v>142875.48</v>
      </c>
      <c r="AD13" s="4"/>
      <c r="AE13" s="4">
        <v>1693738.57</v>
      </c>
      <c r="AF13" s="4"/>
      <c r="AG13" s="50">
        <f>AE13+AC13</f>
        <v>1836614.05</v>
      </c>
      <c r="AH13" s="4"/>
    </row>
    <row r="14" spans="1:33" ht="12" customHeight="1" hidden="1">
      <c r="A14" s="13" t="s">
        <v>74</v>
      </c>
      <c r="B14" s="13"/>
      <c r="C14" s="16" t="s">
        <v>44</v>
      </c>
      <c r="D14" s="16"/>
      <c r="E14" s="19">
        <v>0</v>
      </c>
      <c r="F14" s="19"/>
      <c r="G14" s="19">
        <v>0</v>
      </c>
      <c r="H14" s="19"/>
      <c r="I14" s="19">
        <v>0</v>
      </c>
      <c r="J14" s="19"/>
      <c r="K14" s="19">
        <v>0</v>
      </c>
      <c r="L14" s="19"/>
      <c r="M14" s="19">
        <v>0</v>
      </c>
      <c r="N14" s="19"/>
      <c r="O14" s="19">
        <v>0</v>
      </c>
      <c r="P14" s="19"/>
      <c r="Q14" s="19">
        <v>0</v>
      </c>
      <c r="R14" s="19"/>
      <c r="S14" s="19">
        <v>0</v>
      </c>
      <c r="T14" s="19"/>
      <c r="U14" s="19">
        <v>0</v>
      </c>
      <c r="V14" s="19"/>
      <c r="W14" s="19">
        <v>0</v>
      </c>
      <c r="X14" s="19"/>
      <c r="Y14" s="19">
        <v>0</v>
      </c>
      <c r="Z14" s="19"/>
      <c r="AA14" s="19">
        <v>0</v>
      </c>
      <c r="AB14" s="19"/>
      <c r="AC14" s="19">
        <v>0</v>
      </c>
      <c r="AD14" s="19"/>
      <c r="AE14" s="19">
        <v>0</v>
      </c>
      <c r="AF14" s="19"/>
      <c r="AG14" s="19">
        <f>AE14+AC14</f>
        <v>0</v>
      </c>
    </row>
    <row r="15" spans="1:33" ht="12" customHeight="1" hidden="1">
      <c r="A15" s="13" t="s">
        <v>492</v>
      </c>
      <c r="B15" s="13"/>
      <c r="C15" s="16" t="s">
        <v>104</v>
      </c>
      <c r="D15" s="16"/>
      <c r="E15" s="19">
        <v>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3" ht="12" customHeight="1" hidden="1">
      <c r="A16" s="16" t="s">
        <v>79</v>
      </c>
      <c r="B16" s="16"/>
      <c r="C16" s="16" t="s">
        <v>60</v>
      </c>
      <c r="D16" s="16"/>
      <c r="E16" s="19">
        <v>0</v>
      </c>
      <c r="F16" s="19"/>
      <c r="G16" s="19">
        <v>0</v>
      </c>
      <c r="H16" s="19"/>
      <c r="I16" s="19">
        <v>0</v>
      </c>
      <c r="J16" s="19"/>
      <c r="K16" s="19">
        <v>0</v>
      </c>
      <c r="L16" s="19"/>
      <c r="M16" s="19">
        <v>0</v>
      </c>
      <c r="N16" s="19"/>
      <c r="O16" s="19">
        <v>0</v>
      </c>
      <c r="P16" s="19"/>
      <c r="Q16" s="19">
        <v>0</v>
      </c>
      <c r="R16" s="19"/>
      <c r="S16" s="19">
        <v>0</v>
      </c>
      <c r="T16" s="19"/>
      <c r="U16" s="19">
        <v>0</v>
      </c>
      <c r="V16" s="19"/>
      <c r="W16" s="19">
        <v>0</v>
      </c>
      <c r="X16" s="19"/>
      <c r="Y16" s="19">
        <v>0</v>
      </c>
      <c r="Z16" s="19"/>
      <c r="AA16" s="19">
        <v>0</v>
      </c>
      <c r="AB16" s="19"/>
      <c r="AC16" s="19">
        <v>0</v>
      </c>
      <c r="AD16" s="19"/>
      <c r="AE16" s="19">
        <v>0</v>
      </c>
      <c r="AF16" s="19"/>
      <c r="AG16" s="19">
        <f>AE16+AC16</f>
        <v>0</v>
      </c>
    </row>
    <row r="17" spans="1:33" ht="12" customHeight="1" hidden="1">
      <c r="A17" s="31" t="s">
        <v>80</v>
      </c>
      <c r="B17" s="31"/>
      <c r="C17" s="31" t="s">
        <v>81</v>
      </c>
      <c r="D17" s="16"/>
      <c r="E17" s="19">
        <v>0</v>
      </c>
      <c r="F17" s="19"/>
      <c r="G17" s="19">
        <v>0</v>
      </c>
      <c r="H17" s="19"/>
      <c r="I17" s="19">
        <v>0</v>
      </c>
      <c r="J17" s="19"/>
      <c r="K17" s="19">
        <v>0</v>
      </c>
      <c r="L17" s="19"/>
      <c r="M17" s="19">
        <v>0</v>
      </c>
      <c r="N17" s="19"/>
      <c r="O17" s="19">
        <v>0</v>
      </c>
      <c r="P17" s="19"/>
      <c r="Q17" s="19">
        <v>0</v>
      </c>
      <c r="R17" s="19"/>
      <c r="S17" s="19">
        <v>0</v>
      </c>
      <c r="T17" s="19"/>
      <c r="U17" s="19">
        <v>0</v>
      </c>
      <c r="V17" s="19"/>
      <c r="W17" s="19">
        <v>0</v>
      </c>
      <c r="X17" s="19"/>
      <c r="Y17" s="19">
        <v>0</v>
      </c>
      <c r="Z17" s="19"/>
      <c r="AA17" s="19">
        <v>0</v>
      </c>
      <c r="AB17" s="19"/>
      <c r="AC17" s="19">
        <v>0</v>
      </c>
      <c r="AD17" s="19"/>
      <c r="AE17" s="19"/>
      <c r="AF17" s="19"/>
      <c r="AG17" s="19"/>
    </row>
    <row r="18" spans="1:33" ht="12" customHeight="1" hidden="1">
      <c r="A18" s="13" t="s">
        <v>408</v>
      </c>
      <c r="B18" s="13"/>
      <c r="C18" s="16" t="s">
        <v>45</v>
      </c>
      <c r="D18" s="16"/>
      <c r="E18" s="19">
        <v>0</v>
      </c>
      <c r="F18" s="19"/>
      <c r="G18" s="19">
        <v>0</v>
      </c>
      <c r="H18" s="19"/>
      <c r="I18" s="19">
        <v>0</v>
      </c>
      <c r="J18" s="19"/>
      <c r="K18" s="19">
        <v>0</v>
      </c>
      <c r="L18" s="19"/>
      <c r="M18" s="19">
        <v>0</v>
      </c>
      <c r="N18" s="19"/>
      <c r="O18" s="19">
        <v>0</v>
      </c>
      <c r="P18" s="19"/>
      <c r="Q18" s="19">
        <v>0</v>
      </c>
      <c r="R18" s="19"/>
      <c r="S18" s="19">
        <v>0</v>
      </c>
      <c r="T18" s="19"/>
      <c r="U18" s="19">
        <v>0</v>
      </c>
      <c r="V18" s="19"/>
      <c r="W18" s="19">
        <v>0</v>
      </c>
      <c r="X18" s="19"/>
      <c r="Y18" s="19">
        <v>0</v>
      </c>
      <c r="Z18" s="19"/>
      <c r="AA18" s="19">
        <v>0</v>
      </c>
      <c r="AB18" s="19"/>
      <c r="AC18" s="19">
        <v>0</v>
      </c>
      <c r="AD18" s="19"/>
      <c r="AE18" s="19">
        <v>0</v>
      </c>
      <c r="AF18" s="19"/>
      <c r="AG18" s="19">
        <f aca="true" t="shared" si="0" ref="AG18:AG49">AE18+AC18</f>
        <v>0</v>
      </c>
    </row>
    <row r="19" spans="1:33" s="54" customFormat="1" ht="12" customHeight="1">
      <c r="A19" s="16" t="s">
        <v>491</v>
      </c>
      <c r="B19" s="16"/>
      <c r="C19" s="16" t="s">
        <v>23</v>
      </c>
      <c r="D19" s="16"/>
      <c r="E19" s="19">
        <f>2616317+8045443</f>
        <v>10661760</v>
      </c>
      <c r="F19" s="19"/>
      <c r="G19" s="19">
        <v>619426</v>
      </c>
      <c r="H19" s="19"/>
      <c r="I19" s="19">
        <v>65797</v>
      </c>
      <c r="J19" s="19"/>
      <c r="K19" s="19">
        <v>0</v>
      </c>
      <c r="L19" s="19"/>
      <c r="M19" s="19">
        <v>-35321201</v>
      </c>
      <c r="N19" s="19"/>
      <c r="O19" s="19">
        <v>15183581</v>
      </c>
      <c r="P19" s="19"/>
      <c r="Q19" s="19">
        <f>1546948+14436659</f>
        <v>15983607</v>
      </c>
      <c r="R19" s="19"/>
      <c r="S19" s="19">
        <v>649245</v>
      </c>
      <c r="T19" s="19"/>
      <c r="U19" s="19">
        <f>622806+5490</f>
        <v>628296</v>
      </c>
      <c r="V19" s="19"/>
      <c r="W19" s="19">
        <v>0</v>
      </c>
      <c r="X19" s="19"/>
      <c r="Y19" s="19">
        <v>0</v>
      </c>
      <c r="Z19" s="19"/>
      <c r="AA19" s="19">
        <v>646869</v>
      </c>
      <c r="AB19" s="19"/>
      <c r="AC19" s="19">
        <v>-2229603</v>
      </c>
      <c r="AD19" s="19"/>
      <c r="AE19" s="19">
        <v>12891363</v>
      </c>
      <c r="AF19" s="19"/>
      <c r="AG19" s="19">
        <f t="shared" si="0"/>
        <v>10661760</v>
      </c>
    </row>
    <row r="20" spans="1:33" ht="12" customHeight="1" hidden="1">
      <c r="A20" s="13" t="s">
        <v>409</v>
      </c>
      <c r="B20" s="13"/>
      <c r="C20" s="16" t="s">
        <v>46</v>
      </c>
      <c r="D20" s="16"/>
      <c r="E20" s="19">
        <v>0</v>
      </c>
      <c r="F20" s="19"/>
      <c r="G20" s="19">
        <v>0</v>
      </c>
      <c r="H20" s="19"/>
      <c r="I20" s="19">
        <v>0</v>
      </c>
      <c r="J20" s="19"/>
      <c r="K20" s="19">
        <v>0</v>
      </c>
      <c r="L20" s="19"/>
      <c r="M20" s="19">
        <v>0</v>
      </c>
      <c r="N20" s="19"/>
      <c r="O20" s="19">
        <v>0</v>
      </c>
      <c r="P20" s="19"/>
      <c r="Q20" s="19">
        <v>0</v>
      </c>
      <c r="R20" s="19"/>
      <c r="S20" s="19">
        <v>0</v>
      </c>
      <c r="T20" s="19"/>
      <c r="U20" s="19">
        <v>0</v>
      </c>
      <c r="V20" s="19"/>
      <c r="W20" s="19">
        <v>0</v>
      </c>
      <c r="X20" s="19"/>
      <c r="Y20" s="19">
        <v>0</v>
      </c>
      <c r="Z20" s="19"/>
      <c r="AA20" s="19">
        <v>0</v>
      </c>
      <c r="AB20" s="19"/>
      <c r="AC20" s="19">
        <v>0</v>
      </c>
      <c r="AD20" s="19"/>
      <c r="AE20" s="19">
        <v>0</v>
      </c>
      <c r="AF20" s="19"/>
      <c r="AG20" s="19">
        <f t="shared" si="0"/>
        <v>0</v>
      </c>
    </row>
    <row r="21" spans="1:33" ht="12" customHeight="1" hidden="1">
      <c r="A21" s="13" t="s">
        <v>410</v>
      </c>
      <c r="B21" s="13"/>
      <c r="C21" s="16" t="s">
        <v>47</v>
      </c>
      <c r="D21" s="16"/>
      <c r="E21" s="19">
        <v>0</v>
      </c>
      <c r="F21" s="19"/>
      <c r="G21" s="19">
        <v>0</v>
      </c>
      <c r="H21" s="19"/>
      <c r="I21" s="19">
        <v>0</v>
      </c>
      <c r="J21" s="19"/>
      <c r="K21" s="19">
        <v>0</v>
      </c>
      <c r="L21" s="19"/>
      <c r="M21" s="19">
        <v>0</v>
      </c>
      <c r="N21" s="19"/>
      <c r="O21" s="19">
        <v>0</v>
      </c>
      <c r="P21" s="19"/>
      <c r="Q21" s="19">
        <v>0</v>
      </c>
      <c r="R21" s="19"/>
      <c r="S21" s="19">
        <v>0</v>
      </c>
      <c r="T21" s="19"/>
      <c r="U21" s="19">
        <v>0</v>
      </c>
      <c r="V21" s="19"/>
      <c r="W21" s="19">
        <v>0</v>
      </c>
      <c r="X21" s="19"/>
      <c r="Y21" s="19">
        <v>0</v>
      </c>
      <c r="Z21" s="19"/>
      <c r="AA21" s="19">
        <v>0</v>
      </c>
      <c r="AB21" s="19"/>
      <c r="AC21" s="19">
        <v>0</v>
      </c>
      <c r="AD21" s="19"/>
      <c r="AE21" s="19">
        <v>0</v>
      </c>
      <c r="AF21" s="19"/>
      <c r="AG21" s="19">
        <f t="shared" si="0"/>
        <v>0</v>
      </c>
    </row>
    <row r="22" spans="1:34" ht="12" customHeight="1">
      <c r="A22" s="3" t="s">
        <v>74</v>
      </c>
      <c r="B22" s="3"/>
      <c r="C22" s="3" t="s">
        <v>44</v>
      </c>
      <c r="D22" s="3"/>
      <c r="E22" s="3">
        <v>345756.74</v>
      </c>
      <c r="F22" s="3"/>
      <c r="G22" s="3">
        <v>0</v>
      </c>
      <c r="H22" s="3"/>
      <c r="I22" s="3">
        <v>0</v>
      </c>
      <c r="J22" s="3"/>
      <c r="K22" s="3">
        <v>0</v>
      </c>
      <c r="L22" s="3"/>
      <c r="M22" s="3">
        <v>-345756.74</v>
      </c>
      <c r="N22" s="3"/>
      <c r="O22" s="3">
        <v>0</v>
      </c>
      <c r="P22" s="3"/>
      <c r="Q22" s="3">
        <v>313911.35</v>
      </c>
      <c r="R22" s="3"/>
      <c r="S22" s="3">
        <v>29111.84</v>
      </c>
      <c r="T22" s="3"/>
      <c r="U22" s="3">
        <v>12290.24</v>
      </c>
      <c r="V22" s="3"/>
      <c r="W22" s="3">
        <v>0</v>
      </c>
      <c r="X22" s="3"/>
      <c r="Y22" s="3">
        <v>0</v>
      </c>
      <c r="Z22" s="3"/>
      <c r="AA22" s="3">
        <v>0</v>
      </c>
      <c r="AB22" s="3"/>
      <c r="AC22" s="3">
        <v>9556.69</v>
      </c>
      <c r="AD22" s="3"/>
      <c r="AE22" s="3">
        <v>790460.96</v>
      </c>
      <c r="AF22" s="3"/>
      <c r="AG22" s="19">
        <f t="shared" si="0"/>
        <v>800017.6499999999</v>
      </c>
      <c r="AH22" s="3"/>
    </row>
    <row r="23" spans="1:33" ht="12" customHeight="1" hidden="1">
      <c r="A23" s="13" t="s">
        <v>411</v>
      </c>
      <c r="B23" s="16"/>
      <c r="C23" s="16" t="s">
        <v>23</v>
      </c>
      <c r="D23" s="16"/>
      <c r="E23" s="19">
        <v>0</v>
      </c>
      <c r="F23" s="19"/>
      <c r="G23" s="19">
        <v>0</v>
      </c>
      <c r="H23" s="19"/>
      <c r="I23" s="19">
        <v>0</v>
      </c>
      <c r="J23" s="19"/>
      <c r="K23" s="19">
        <v>0</v>
      </c>
      <c r="L23" s="19"/>
      <c r="M23" s="19">
        <v>0</v>
      </c>
      <c r="N23" s="19"/>
      <c r="O23" s="19">
        <v>0</v>
      </c>
      <c r="P23" s="19"/>
      <c r="Q23" s="19">
        <v>0</v>
      </c>
      <c r="R23" s="19"/>
      <c r="S23" s="19">
        <v>0</v>
      </c>
      <c r="T23" s="19"/>
      <c r="U23" s="19">
        <v>0</v>
      </c>
      <c r="V23" s="19"/>
      <c r="W23" s="19">
        <v>0</v>
      </c>
      <c r="X23" s="19"/>
      <c r="Y23" s="19">
        <v>0</v>
      </c>
      <c r="Z23" s="19"/>
      <c r="AA23" s="19">
        <v>0</v>
      </c>
      <c r="AB23" s="19"/>
      <c r="AC23" s="19">
        <v>0</v>
      </c>
      <c r="AD23" s="19"/>
      <c r="AE23" s="19">
        <v>0</v>
      </c>
      <c r="AF23" s="19"/>
      <c r="AG23" s="19">
        <f t="shared" si="0"/>
        <v>0</v>
      </c>
    </row>
    <row r="24" spans="1:34" ht="12" customHeight="1">
      <c r="A24" s="3" t="s">
        <v>79</v>
      </c>
      <c r="B24" s="3"/>
      <c r="C24" s="3" t="s">
        <v>60</v>
      </c>
      <c r="D24" s="3"/>
      <c r="E24" s="3">
        <v>1068434.76</v>
      </c>
      <c r="F24" s="3"/>
      <c r="G24" s="3">
        <v>29842.52</v>
      </c>
      <c r="H24" s="3"/>
      <c r="I24" s="3">
        <v>29103.38</v>
      </c>
      <c r="J24" s="3"/>
      <c r="K24" s="3">
        <v>0</v>
      </c>
      <c r="L24" s="3"/>
      <c r="M24" s="3">
        <v>-1009488.86</v>
      </c>
      <c r="N24" s="3"/>
      <c r="O24" s="3">
        <v>316897.78</v>
      </c>
      <c r="P24" s="3"/>
      <c r="Q24" s="3">
        <v>812759.75</v>
      </c>
      <c r="R24" s="3"/>
      <c r="S24" s="3">
        <v>117834.9</v>
      </c>
      <c r="T24" s="3"/>
      <c r="U24" s="3">
        <v>2336.41</v>
      </c>
      <c r="V24" s="3"/>
      <c r="W24" s="3">
        <v>0</v>
      </c>
      <c r="X24" s="3"/>
      <c r="Y24" s="3">
        <v>0</v>
      </c>
      <c r="Z24" s="3"/>
      <c r="AA24" s="3">
        <v>4170</v>
      </c>
      <c r="AB24" s="3"/>
      <c r="AC24" s="3">
        <v>244509.98</v>
      </c>
      <c r="AD24" s="3"/>
      <c r="AE24" s="3">
        <v>2209126.55</v>
      </c>
      <c r="AF24" s="3"/>
      <c r="AG24" s="19">
        <f t="shared" si="0"/>
        <v>2453636.53</v>
      </c>
      <c r="AH24" s="3"/>
    </row>
    <row r="25" spans="1:33" ht="12" customHeight="1" hidden="1">
      <c r="A25" s="13" t="s">
        <v>412</v>
      </c>
      <c r="B25" s="16"/>
      <c r="C25" s="16" t="s">
        <v>14</v>
      </c>
      <c r="D25" s="16"/>
      <c r="E25" s="19">
        <v>0</v>
      </c>
      <c r="F25" s="19"/>
      <c r="G25" s="19">
        <v>0</v>
      </c>
      <c r="H25" s="19"/>
      <c r="I25" s="19">
        <v>0</v>
      </c>
      <c r="J25" s="19"/>
      <c r="K25" s="19">
        <v>0</v>
      </c>
      <c r="L25" s="19"/>
      <c r="M25" s="19">
        <v>0</v>
      </c>
      <c r="N25" s="19"/>
      <c r="O25" s="19">
        <v>0</v>
      </c>
      <c r="P25" s="19"/>
      <c r="Q25" s="19">
        <v>0</v>
      </c>
      <c r="R25" s="19"/>
      <c r="S25" s="19">
        <v>0</v>
      </c>
      <c r="T25" s="19"/>
      <c r="U25" s="19">
        <v>0</v>
      </c>
      <c r="V25" s="19"/>
      <c r="W25" s="19">
        <v>0</v>
      </c>
      <c r="X25" s="19"/>
      <c r="Y25" s="19">
        <v>0</v>
      </c>
      <c r="Z25" s="19"/>
      <c r="AA25" s="19">
        <v>0</v>
      </c>
      <c r="AB25" s="19"/>
      <c r="AC25" s="19">
        <v>0</v>
      </c>
      <c r="AD25" s="19"/>
      <c r="AE25" s="19">
        <v>0</v>
      </c>
      <c r="AF25" s="19"/>
      <c r="AG25" s="19">
        <f t="shared" si="0"/>
        <v>0</v>
      </c>
    </row>
    <row r="26" spans="1:33" ht="12" customHeight="1">
      <c r="A26" s="31" t="s">
        <v>86</v>
      </c>
      <c r="B26" s="31"/>
      <c r="C26" s="31" t="s">
        <v>87</v>
      </c>
      <c r="D26" s="16"/>
      <c r="E26" s="19">
        <v>2398477</v>
      </c>
      <c r="F26" s="19"/>
      <c r="G26" s="19">
        <v>54453</v>
      </c>
      <c r="H26" s="19"/>
      <c r="I26" s="19">
        <v>1100</v>
      </c>
      <c r="J26" s="19"/>
      <c r="K26" s="19">
        <v>0</v>
      </c>
      <c r="L26" s="19"/>
      <c r="M26" s="19">
        <v>-1463337</v>
      </c>
      <c r="N26" s="19"/>
      <c r="O26" s="19">
        <v>1262456</v>
      </c>
      <c r="P26" s="19"/>
      <c r="Q26" s="19">
        <f>2332+750</f>
        <v>3082</v>
      </c>
      <c r="R26" s="19"/>
      <c r="S26" s="19">
        <v>105710</v>
      </c>
      <c r="T26" s="19"/>
      <c r="U26" s="19">
        <v>5542</v>
      </c>
      <c r="V26" s="19"/>
      <c r="W26" s="19">
        <v>0</v>
      </c>
      <c r="X26" s="19"/>
      <c r="Y26" s="19">
        <v>0</v>
      </c>
      <c r="Z26" s="19"/>
      <c r="AA26" s="19">
        <v>0</v>
      </c>
      <c r="AB26" s="19"/>
      <c r="AC26" s="19">
        <v>-85447</v>
      </c>
      <c r="AD26" s="19"/>
      <c r="AE26" s="19">
        <v>2483924</v>
      </c>
      <c r="AF26" s="19"/>
      <c r="AG26" s="19">
        <f t="shared" si="0"/>
        <v>2398477</v>
      </c>
    </row>
    <row r="27" spans="1:33" ht="12" customHeight="1" hidden="1">
      <c r="A27" s="13" t="s">
        <v>413</v>
      </c>
      <c r="B27" s="16"/>
      <c r="C27" s="16" t="s">
        <v>49</v>
      </c>
      <c r="D27" s="16"/>
      <c r="E27" s="19">
        <v>0</v>
      </c>
      <c r="F27" s="19"/>
      <c r="G27" s="19">
        <v>0</v>
      </c>
      <c r="H27" s="19"/>
      <c r="I27" s="19">
        <v>0</v>
      </c>
      <c r="J27" s="19"/>
      <c r="K27" s="19">
        <v>0</v>
      </c>
      <c r="L27" s="19"/>
      <c r="M27" s="19">
        <v>0</v>
      </c>
      <c r="N27" s="19"/>
      <c r="O27" s="19">
        <v>0</v>
      </c>
      <c r="P27" s="19"/>
      <c r="Q27" s="19">
        <v>0</v>
      </c>
      <c r="R27" s="19"/>
      <c r="S27" s="19">
        <v>0</v>
      </c>
      <c r="T27" s="19"/>
      <c r="U27" s="19">
        <v>0</v>
      </c>
      <c r="V27" s="19"/>
      <c r="W27" s="19">
        <v>0</v>
      </c>
      <c r="X27" s="19"/>
      <c r="Y27" s="19">
        <v>0</v>
      </c>
      <c r="Z27" s="19"/>
      <c r="AA27" s="19">
        <v>0</v>
      </c>
      <c r="AB27" s="19"/>
      <c r="AC27" s="19">
        <v>0</v>
      </c>
      <c r="AD27" s="19"/>
      <c r="AE27" s="19">
        <v>0</v>
      </c>
      <c r="AF27" s="19"/>
      <c r="AG27" s="19">
        <f t="shared" si="0"/>
        <v>0</v>
      </c>
    </row>
    <row r="28" spans="1:34" ht="12" customHeight="1">
      <c r="A28" s="3" t="s">
        <v>612</v>
      </c>
      <c r="B28" s="3"/>
      <c r="C28" s="3" t="s">
        <v>46</v>
      </c>
      <c r="D28" s="3"/>
      <c r="E28" s="3">
        <v>1710937.56</v>
      </c>
      <c r="F28" s="3"/>
      <c r="G28" s="3">
        <v>39573.61</v>
      </c>
      <c r="H28" s="3"/>
      <c r="I28" s="3">
        <v>10256.85</v>
      </c>
      <c r="J28" s="3"/>
      <c r="K28" s="3">
        <v>0</v>
      </c>
      <c r="L28" s="3"/>
      <c r="M28" s="3">
        <v>-1661107.1</v>
      </c>
      <c r="N28" s="3"/>
      <c r="O28" s="3">
        <v>1580453.58</v>
      </c>
      <c r="P28" s="3"/>
      <c r="Q28" s="3">
        <v>1198.47</v>
      </c>
      <c r="R28" s="3"/>
      <c r="S28" s="3">
        <v>140434.98</v>
      </c>
      <c r="T28" s="3"/>
      <c r="U28" s="3">
        <v>60009.85</v>
      </c>
      <c r="V28" s="3"/>
      <c r="W28" s="3">
        <v>0</v>
      </c>
      <c r="X28" s="3"/>
      <c r="Y28" s="3">
        <v>0</v>
      </c>
      <c r="Z28" s="3"/>
      <c r="AA28" s="3">
        <v>0</v>
      </c>
      <c r="AB28" s="3"/>
      <c r="AC28" s="3">
        <v>120989.78</v>
      </c>
      <c r="AD28" s="3"/>
      <c r="AE28" s="3">
        <v>2769744.54</v>
      </c>
      <c r="AF28" s="3"/>
      <c r="AG28" s="19">
        <f t="shared" si="0"/>
        <v>2890734.32</v>
      </c>
      <c r="AH28" s="3"/>
    </row>
    <row r="29" spans="1:33" ht="12" customHeight="1" hidden="1">
      <c r="A29" s="13" t="s">
        <v>35</v>
      </c>
      <c r="B29" s="16"/>
      <c r="C29" s="16" t="s">
        <v>50</v>
      </c>
      <c r="D29" s="16"/>
      <c r="E29" s="19">
        <v>0</v>
      </c>
      <c r="F29" s="19"/>
      <c r="G29" s="19">
        <v>0</v>
      </c>
      <c r="H29" s="19"/>
      <c r="I29" s="19">
        <v>0</v>
      </c>
      <c r="J29" s="19"/>
      <c r="K29" s="19">
        <v>0</v>
      </c>
      <c r="L29" s="19"/>
      <c r="M29" s="19">
        <v>0</v>
      </c>
      <c r="N29" s="19"/>
      <c r="O29" s="19">
        <v>0</v>
      </c>
      <c r="P29" s="19"/>
      <c r="Q29" s="19">
        <v>0</v>
      </c>
      <c r="R29" s="19"/>
      <c r="S29" s="19">
        <v>0</v>
      </c>
      <c r="T29" s="19"/>
      <c r="U29" s="19">
        <v>0</v>
      </c>
      <c r="V29" s="19"/>
      <c r="W29" s="19">
        <v>0</v>
      </c>
      <c r="X29" s="19"/>
      <c r="Y29" s="19">
        <v>0</v>
      </c>
      <c r="Z29" s="19"/>
      <c r="AA29" s="19">
        <v>0</v>
      </c>
      <c r="AB29" s="19"/>
      <c r="AC29" s="19">
        <v>0</v>
      </c>
      <c r="AD29" s="19"/>
      <c r="AE29" s="19">
        <v>0</v>
      </c>
      <c r="AF29" s="19"/>
      <c r="AG29" s="19">
        <f t="shared" si="0"/>
        <v>0</v>
      </c>
    </row>
    <row r="30" spans="1:34" ht="12" customHeight="1">
      <c r="A30" s="3" t="s">
        <v>410</v>
      </c>
      <c r="B30" s="3"/>
      <c r="C30" s="3" t="s">
        <v>47</v>
      </c>
      <c r="D30" s="3"/>
      <c r="E30" s="3">
        <v>1238466.07</v>
      </c>
      <c r="F30" s="3"/>
      <c r="G30" s="3">
        <v>0</v>
      </c>
      <c r="H30" s="3"/>
      <c r="I30" s="3">
        <v>0</v>
      </c>
      <c r="J30" s="3"/>
      <c r="K30" s="3">
        <v>0</v>
      </c>
      <c r="L30" s="3"/>
      <c r="M30" s="3">
        <v>-1238466.07</v>
      </c>
      <c r="N30" s="3"/>
      <c r="O30" s="3">
        <v>0</v>
      </c>
      <c r="P30" s="3"/>
      <c r="Q30" s="3">
        <v>1242021.37</v>
      </c>
      <c r="R30" s="3"/>
      <c r="S30" s="3">
        <v>112335.34</v>
      </c>
      <c r="T30" s="3"/>
      <c r="U30" s="3">
        <v>44809.25</v>
      </c>
      <c r="V30" s="3"/>
      <c r="W30" s="3">
        <v>0</v>
      </c>
      <c r="X30" s="3"/>
      <c r="Y30" s="3">
        <v>0</v>
      </c>
      <c r="Z30" s="3"/>
      <c r="AA30" s="3">
        <v>0</v>
      </c>
      <c r="AB30" s="3"/>
      <c r="AC30" s="3">
        <v>160699.89</v>
      </c>
      <c r="AD30" s="3"/>
      <c r="AE30" s="3">
        <v>2938125.86</v>
      </c>
      <c r="AF30" s="3"/>
      <c r="AG30" s="19">
        <f t="shared" si="0"/>
        <v>3098825.75</v>
      </c>
      <c r="AH30" s="3"/>
    </row>
    <row r="31" spans="1:33" ht="12" customHeight="1" hidden="1">
      <c r="A31" s="13" t="s">
        <v>414</v>
      </c>
      <c r="B31" s="16"/>
      <c r="C31" s="16" t="s">
        <v>51</v>
      </c>
      <c r="D31" s="16"/>
      <c r="E31" s="19">
        <v>0</v>
      </c>
      <c r="F31" s="19"/>
      <c r="G31" s="19">
        <v>0</v>
      </c>
      <c r="H31" s="19"/>
      <c r="I31" s="19">
        <v>0</v>
      </c>
      <c r="J31" s="19"/>
      <c r="K31" s="19">
        <v>0</v>
      </c>
      <c r="L31" s="19"/>
      <c r="M31" s="19">
        <v>0</v>
      </c>
      <c r="N31" s="19"/>
      <c r="O31" s="19">
        <v>0</v>
      </c>
      <c r="P31" s="19"/>
      <c r="Q31" s="19">
        <v>0</v>
      </c>
      <c r="R31" s="19"/>
      <c r="S31" s="19">
        <v>0</v>
      </c>
      <c r="T31" s="19"/>
      <c r="U31" s="19">
        <v>0</v>
      </c>
      <c r="V31" s="19"/>
      <c r="W31" s="19">
        <v>0</v>
      </c>
      <c r="X31" s="19"/>
      <c r="Y31" s="19">
        <v>0</v>
      </c>
      <c r="Z31" s="19"/>
      <c r="AA31" s="19">
        <v>0</v>
      </c>
      <c r="AB31" s="19"/>
      <c r="AC31" s="19">
        <v>0</v>
      </c>
      <c r="AD31" s="19"/>
      <c r="AE31" s="19">
        <v>0</v>
      </c>
      <c r="AF31" s="19"/>
      <c r="AG31" s="19">
        <f t="shared" si="0"/>
        <v>0</v>
      </c>
    </row>
    <row r="32" spans="1:33" ht="12" customHeight="1" hidden="1">
      <c r="A32" s="13" t="s">
        <v>415</v>
      </c>
      <c r="B32" s="16"/>
      <c r="C32" s="16" t="s">
        <v>52</v>
      </c>
      <c r="D32" s="16"/>
      <c r="E32" s="19">
        <v>0</v>
      </c>
      <c r="F32" s="19"/>
      <c r="G32" s="19">
        <v>0</v>
      </c>
      <c r="H32" s="19"/>
      <c r="I32" s="19">
        <v>0</v>
      </c>
      <c r="J32" s="19"/>
      <c r="K32" s="19">
        <v>0</v>
      </c>
      <c r="L32" s="19"/>
      <c r="M32" s="19">
        <v>0</v>
      </c>
      <c r="N32" s="19"/>
      <c r="O32" s="19">
        <v>0</v>
      </c>
      <c r="P32" s="19"/>
      <c r="Q32" s="19">
        <v>0</v>
      </c>
      <c r="R32" s="19"/>
      <c r="S32" s="19">
        <v>0</v>
      </c>
      <c r="T32" s="19"/>
      <c r="U32" s="19">
        <v>0</v>
      </c>
      <c r="V32" s="19"/>
      <c r="W32" s="19">
        <v>0</v>
      </c>
      <c r="X32" s="19"/>
      <c r="Y32" s="19">
        <v>0</v>
      </c>
      <c r="Z32" s="19"/>
      <c r="AA32" s="19">
        <v>0</v>
      </c>
      <c r="AB32" s="19"/>
      <c r="AC32" s="19">
        <v>0</v>
      </c>
      <c r="AD32" s="19"/>
      <c r="AE32" s="19">
        <v>0</v>
      </c>
      <c r="AF32" s="19"/>
      <c r="AG32" s="19">
        <f t="shared" si="0"/>
        <v>0</v>
      </c>
    </row>
    <row r="33" spans="1:33" ht="12" customHeight="1" hidden="1">
      <c r="A33" s="13" t="s">
        <v>416</v>
      </c>
      <c r="B33" s="16"/>
      <c r="C33" s="16" t="s">
        <v>27</v>
      </c>
      <c r="D33" s="16"/>
      <c r="E33" s="19">
        <v>0</v>
      </c>
      <c r="F33" s="19"/>
      <c r="G33" s="19">
        <v>0</v>
      </c>
      <c r="H33" s="19"/>
      <c r="I33" s="19">
        <v>0</v>
      </c>
      <c r="J33" s="19"/>
      <c r="K33" s="19">
        <v>0</v>
      </c>
      <c r="L33" s="19"/>
      <c r="M33" s="19">
        <v>0</v>
      </c>
      <c r="N33" s="19"/>
      <c r="O33" s="19">
        <v>0</v>
      </c>
      <c r="P33" s="19"/>
      <c r="Q33" s="19">
        <v>0</v>
      </c>
      <c r="R33" s="19"/>
      <c r="S33" s="19">
        <v>0</v>
      </c>
      <c r="T33" s="19"/>
      <c r="U33" s="19">
        <v>0</v>
      </c>
      <c r="V33" s="19"/>
      <c r="W33" s="19">
        <v>0</v>
      </c>
      <c r="X33" s="19"/>
      <c r="Y33" s="19">
        <v>0</v>
      </c>
      <c r="Z33" s="19"/>
      <c r="AA33" s="19">
        <v>0</v>
      </c>
      <c r="AB33" s="19"/>
      <c r="AC33" s="19">
        <v>0</v>
      </c>
      <c r="AD33" s="19"/>
      <c r="AE33" s="19">
        <v>0</v>
      </c>
      <c r="AF33" s="19"/>
      <c r="AG33" s="19">
        <f t="shared" si="0"/>
        <v>0</v>
      </c>
    </row>
    <row r="34" spans="1:33" ht="12" customHeight="1">
      <c r="A34" s="13" t="s">
        <v>90</v>
      </c>
      <c r="B34" s="13"/>
      <c r="C34" s="16" t="s">
        <v>60</v>
      </c>
      <c r="D34" s="16"/>
      <c r="E34" s="19">
        <v>755230</v>
      </c>
      <c r="F34" s="19"/>
      <c r="G34" s="19">
        <v>0</v>
      </c>
      <c r="H34" s="19"/>
      <c r="I34" s="19">
        <v>0</v>
      </c>
      <c r="J34" s="19"/>
      <c r="K34" s="19">
        <v>0</v>
      </c>
      <c r="L34" s="19"/>
      <c r="M34" s="19">
        <v>-2482493</v>
      </c>
      <c r="N34" s="19"/>
      <c r="O34" s="19">
        <f>1368472+964828</f>
        <v>2333300</v>
      </c>
      <c r="P34" s="19"/>
      <c r="Q34" s="19">
        <v>220</v>
      </c>
      <c r="R34" s="19"/>
      <c r="S34" s="19">
        <v>44166</v>
      </c>
      <c r="T34" s="19"/>
      <c r="U34" s="19">
        <v>65260</v>
      </c>
      <c r="V34" s="19"/>
      <c r="W34" s="19">
        <v>0</v>
      </c>
      <c r="X34" s="19"/>
      <c r="Y34" s="19">
        <v>0</v>
      </c>
      <c r="Z34" s="19"/>
      <c r="AA34" s="19">
        <v>0</v>
      </c>
      <c r="AB34" s="19"/>
      <c r="AC34" s="19">
        <v>-39546</v>
      </c>
      <c r="AD34" s="19"/>
      <c r="AE34" s="19">
        <v>795005</v>
      </c>
      <c r="AF34" s="19"/>
      <c r="AG34" s="19">
        <f t="shared" si="0"/>
        <v>755459</v>
      </c>
    </row>
    <row r="35" spans="1:34" ht="12" customHeight="1">
      <c r="A35" s="3" t="s">
        <v>411</v>
      </c>
      <c r="B35" s="3"/>
      <c r="C35" s="3" t="s">
        <v>23</v>
      </c>
      <c r="D35" s="3"/>
      <c r="E35" s="3">
        <v>1664946.1</v>
      </c>
      <c r="F35" s="3"/>
      <c r="G35" s="3">
        <v>29391.77</v>
      </c>
      <c r="H35" s="3"/>
      <c r="I35" s="3">
        <v>0</v>
      </c>
      <c r="J35" s="3"/>
      <c r="K35" s="3">
        <v>0</v>
      </c>
      <c r="L35" s="3"/>
      <c r="M35" s="3">
        <v>-1635554.33</v>
      </c>
      <c r="N35" s="3"/>
      <c r="O35" s="3">
        <v>556943.05</v>
      </c>
      <c r="P35" s="3"/>
      <c r="Q35" s="3">
        <v>1086270.92</v>
      </c>
      <c r="R35" s="3"/>
      <c r="S35" s="3">
        <v>82724</v>
      </c>
      <c r="T35" s="3"/>
      <c r="U35" s="3">
        <v>4023.3</v>
      </c>
      <c r="V35" s="3"/>
      <c r="W35" s="3">
        <v>0</v>
      </c>
      <c r="X35" s="3"/>
      <c r="Y35" s="3">
        <v>0</v>
      </c>
      <c r="Z35" s="3"/>
      <c r="AA35" s="3">
        <v>3401.53</v>
      </c>
      <c r="AB35" s="3"/>
      <c r="AC35" s="3">
        <v>97808.47</v>
      </c>
      <c r="AD35" s="3"/>
      <c r="AE35" s="3">
        <v>1078916.82</v>
      </c>
      <c r="AF35" s="3"/>
      <c r="AG35" s="19">
        <f t="shared" si="0"/>
        <v>1176725.29</v>
      </c>
      <c r="AH35" s="3"/>
    </row>
    <row r="36" spans="1:33" ht="12" customHeight="1" hidden="1">
      <c r="A36" s="16" t="s">
        <v>417</v>
      </c>
      <c r="B36" s="16"/>
      <c r="C36" s="16" t="s">
        <v>73</v>
      </c>
      <c r="D36" s="16"/>
      <c r="E36" s="19">
        <v>0</v>
      </c>
      <c r="F36" s="19"/>
      <c r="G36" s="19">
        <v>0</v>
      </c>
      <c r="H36" s="19"/>
      <c r="I36" s="19">
        <v>0</v>
      </c>
      <c r="J36" s="19"/>
      <c r="K36" s="19">
        <v>0</v>
      </c>
      <c r="L36" s="19"/>
      <c r="M36" s="19">
        <v>0</v>
      </c>
      <c r="N36" s="19"/>
      <c r="O36" s="19">
        <v>0</v>
      </c>
      <c r="P36" s="19"/>
      <c r="Q36" s="19">
        <v>0</v>
      </c>
      <c r="R36" s="19"/>
      <c r="S36" s="19">
        <v>0</v>
      </c>
      <c r="T36" s="19"/>
      <c r="U36" s="19">
        <v>0</v>
      </c>
      <c r="V36" s="19"/>
      <c r="W36" s="19">
        <v>0</v>
      </c>
      <c r="X36" s="19"/>
      <c r="Y36" s="19">
        <v>0</v>
      </c>
      <c r="Z36" s="19"/>
      <c r="AA36" s="19">
        <v>0</v>
      </c>
      <c r="AB36" s="19"/>
      <c r="AC36" s="19">
        <v>0</v>
      </c>
      <c r="AD36" s="19"/>
      <c r="AE36" s="19">
        <v>0</v>
      </c>
      <c r="AF36" s="19"/>
      <c r="AG36" s="19">
        <f t="shared" si="0"/>
        <v>0</v>
      </c>
    </row>
    <row r="37" spans="1:33" ht="12" customHeight="1" hidden="1">
      <c r="A37" s="13" t="s">
        <v>418</v>
      </c>
      <c r="B37" s="16"/>
      <c r="C37" s="16" t="s">
        <v>55</v>
      </c>
      <c r="D37" s="16"/>
      <c r="E37" s="19">
        <v>0</v>
      </c>
      <c r="F37" s="19"/>
      <c r="G37" s="19">
        <v>0</v>
      </c>
      <c r="H37" s="19"/>
      <c r="I37" s="19">
        <v>0</v>
      </c>
      <c r="J37" s="19"/>
      <c r="K37" s="19">
        <v>0</v>
      </c>
      <c r="L37" s="19"/>
      <c r="M37" s="19">
        <v>0</v>
      </c>
      <c r="N37" s="19"/>
      <c r="O37" s="19">
        <v>0</v>
      </c>
      <c r="P37" s="19"/>
      <c r="Q37" s="19">
        <v>0</v>
      </c>
      <c r="R37" s="19"/>
      <c r="S37" s="19">
        <v>0</v>
      </c>
      <c r="T37" s="19"/>
      <c r="U37" s="19">
        <v>0</v>
      </c>
      <c r="V37" s="19"/>
      <c r="W37" s="19">
        <v>0</v>
      </c>
      <c r="X37" s="19"/>
      <c r="Y37" s="19">
        <v>0</v>
      </c>
      <c r="Z37" s="19"/>
      <c r="AA37" s="19">
        <v>0</v>
      </c>
      <c r="AB37" s="19"/>
      <c r="AC37" s="19">
        <v>0</v>
      </c>
      <c r="AD37" s="19"/>
      <c r="AE37" s="19">
        <v>0</v>
      </c>
      <c r="AF37" s="19"/>
      <c r="AG37" s="19">
        <f t="shared" si="0"/>
        <v>0</v>
      </c>
    </row>
    <row r="38" spans="1:33" ht="12" customHeight="1">
      <c r="A38" s="31" t="s">
        <v>22</v>
      </c>
      <c r="B38" s="31"/>
      <c r="C38" s="31" t="s">
        <v>14</v>
      </c>
      <c r="D38" s="16"/>
      <c r="E38" s="19">
        <v>908679</v>
      </c>
      <c r="F38" s="19"/>
      <c r="G38" s="19">
        <v>19224</v>
      </c>
      <c r="H38" s="19"/>
      <c r="I38" s="19">
        <v>0</v>
      </c>
      <c r="J38" s="19"/>
      <c r="K38" s="19">
        <v>0</v>
      </c>
      <c r="L38" s="19"/>
      <c r="M38" s="19">
        <v>-416925</v>
      </c>
      <c r="N38" s="19"/>
      <c r="O38" s="19">
        <v>0</v>
      </c>
      <c r="P38" s="19"/>
      <c r="Q38" s="19">
        <f>513656+3589</f>
        <v>517245</v>
      </c>
      <c r="R38" s="19"/>
      <c r="S38" s="19">
        <v>28400</v>
      </c>
      <c r="T38" s="19"/>
      <c r="U38" s="19">
        <v>234</v>
      </c>
      <c r="V38" s="19"/>
      <c r="W38" s="19">
        <v>0</v>
      </c>
      <c r="X38" s="19"/>
      <c r="Y38" s="19">
        <v>0</v>
      </c>
      <c r="Z38" s="19"/>
      <c r="AA38" s="19">
        <v>0</v>
      </c>
      <c r="AB38" s="19"/>
      <c r="AC38" s="19">
        <v>128954</v>
      </c>
      <c r="AD38" s="19"/>
      <c r="AE38" s="19">
        <v>868317</v>
      </c>
      <c r="AF38" s="19"/>
      <c r="AG38" s="19">
        <f t="shared" si="0"/>
        <v>997271</v>
      </c>
    </row>
    <row r="39" spans="1:34" ht="12" customHeight="1">
      <c r="A39" s="3" t="s">
        <v>412</v>
      </c>
      <c r="B39" s="3"/>
      <c r="C39" s="3" t="s">
        <v>14</v>
      </c>
      <c r="D39" s="3"/>
      <c r="E39" s="3">
        <v>581941.74</v>
      </c>
      <c r="F39" s="3"/>
      <c r="G39" s="3">
        <v>9387.69</v>
      </c>
      <c r="H39" s="3"/>
      <c r="I39" s="3">
        <v>0</v>
      </c>
      <c r="J39" s="3"/>
      <c r="K39" s="3">
        <v>0</v>
      </c>
      <c r="L39" s="3"/>
      <c r="M39" s="3">
        <v>-572554.05</v>
      </c>
      <c r="N39" s="3"/>
      <c r="O39" s="3">
        <v>0</v>
      </c>
      <c r="P39" s="3"/>
      <c r="Q39" s="3">
        <v>516870.46</v>
      </c>
      <c r="R39" s="3"/>
      <c r="S39" s="3">
        <v>46955.65</v>
      </c>
      <c r="T39" s="3"/>
      <c r="U39" s="3">
        <v>58.85</v>
      </c>
      <c r="V39" s="3"/>
      <c r="W39" s="3">
        <v>0</v>
      </c>
      <c r="X39" s="3"/>
      <c r="Y39" s="3">
        <v>0</v>
      </c>
      <c r="Z39" s="3"/>
      <c r="AA39" s="3">
        <v>0</v>
      </c>
      <c r="AB39" s="3"/>
      <c r="AC39" s="3">
        <v>-8669.09</v>
      </c>
      <c r="AD39" s="3"/>
      <c r="AE39" s="3">
        <v>1073465.28</v>
      </c>
      <c r="AF39" s="3"/>
      <c r="AG39" s="19">
        <f t="shared" si="0"/>
        <v>1064796.19</v>
      </c>
      <c r="AH39" s="3"/>
    </row>
    <row r="40" spans="1:33" ht="12" customHeight="1">
      <c r="A40" s="13" t="s">
        <v>94</v>
      </c>
      <c r="B40" s="16"/>
      <c r="C40" s="16" t="s">
        <v>95</v>
      </c>
      <c r="D40" s="16"/>
      <c r="E40" s="19">
        <v>1055794</v>
      </c>
      <c r="F40" s="19"/>
      <c r="G40" s="19">
        <v>26912</v>
      </c>
      <c r="H40" s="19"/>
      <c r="I40" s="19">
        <v>23485</v>
      </c>
      <c r="J40" s="19"/>
      <c r="K40" s="19">
        <v>0</v>
      </c>
      <c r="L40" s="19"/>
      <c r="M40" s="19">
        <v>-1022221</v>
      </c>
      <c r="N40" s="19"/>
      <c r="O40" s="19">
        <v>293247</v>
      </c>
      <c r="P40" s="19"/>
      <c r="Q40" s="19">
        <v>695907</v>
      </c>
      <c r="R40" s="19"/>
      <c r="S40" s="19">
        <v>53991</v>
      </c>
      <c r="T40" s="19"/>
      <c r="U40" s="19">
        <v>1361</v>
      </c>
      <c r="V40" s="19"/>
      <c r="W40" s="19">
        <v>0</v>
      </c>
      <c r="X40" s="19"/>
      <c r="Y40" s="19">
        <v>150000</v>
      </c>
      <c r="Z40" s="19"/>
      <c r="AA40" s="19">
        <v>0</v>
      </c>
      <c r="AB40" s="19"/>
      <c r="AC40" s="19">
        <v>172285</v>
      </c>
      <c r="AD40" s="19"/>
      <c r="AE40" s="19">
        <v>883509</v>
      </c>
      <c r="AF40" s="19"/>
      <c r="AG40" s="19">
        <f t="shared" si="0"/>
        <v>1055794</v>
      </c>
    </row>
    <row r="41" spans="1:33" ht="12" customHeight="1">
      <c r="A41" s="13" t="s">
        <v>107</v>
      </c>
      <c r="B41" s="16"/>
      <c r="C41" s="16" t="s">
        <v>59</v>
      </c>
      <c r="D41" s="16"/>
      <c r="E41" s="19">
        <v>865056</v>
      </c>
      <c r="F41" s="19"/>
      <c r="G41" s="19">
        <v>24160</v>
      </c>
      <c r="H41" s="19"/>
      <c r="I41" s="19">
        <v>0</v>
      </c>
      <c r="J41" s="19"/>
      <c r="K41" s="19">
        <v>0</v>
      </c>
      <c r="L41" s="19"/>
      <c r="M41" s="19">
        <v>-464607</v>
      </c>
      <c r="N41" s="19"/>
      <c r="O41" s="19">
        <v>0</v>
      </c>
      <c r="P41" s="19"/>
      <c r="Q41" s="19">
        <f>75+494450</f>
        <v>494525</v>
      </c>
      <c r="R41" s="19"/>
      <c r="S41" s="19">
        <v>97030</v>
      </c>
      <c r="T41" s="19"/>
      <c r="U41" s="19">
        <v>443</v>
      </c>
      <c r="V41" s="19"/>
      <c r="W41" s="19">
        <v>0</v>
      </c>
      <c r="X41" s="19"/>
      <c r="Y41" s="19">
        <v>0</v>
      </c>
      <c r="Z41" s="19"/>
      <c r="AA41" s="19">
        <v>0</v>
      </c>
      <c r="AB41" s="19"/>
      <c r="AC41" s="19">
        <v>127391</v>
      </c>
      <c r="AD41" s="19"/>
      <c r="AE41" s="19">
        <v>737665</v>
      </c>
      <c r="AF41" s="19"/>
      <c r="AG41" s="19">
        <f t="shared" si="0"/>
        <v>865056</v>
      </c>
    </row>
    <row r="42" spans="1:33" ht="12" customHeight="1">
      <c r="A42" s="31" t="s">
        <v>116</v>
      </c>
      <c r="B42" s="31"/>
      <c r="C42" s="31" t="s">
        <v>117</v>
      </c>
      <c r="D42" s="16"/>
      <c r="E42" s="19">
        <v>1579585</v>
      </c>
      <c r="F42" s="19"/>
      <c r="G42" s="19">
        <v>22074</v>
      </c>
      <c r="H42" s="19"/>
      <c r="I42" s="19">
        <v>2309</v>
      </c>
      <c r="J42" s="19"/>
      <c r="K42" s="19">
        <v>0</v>
      </c>
      <c r="L42" s="19"/>
      <c r="M42" s="19">
        <v>-1013789</v>
      </c>
      <c r="N42" s="19"/>
      <c r="O42" s="19">
        <v>0</v>
      </c>
      <c r="P42" s="19"/>
      <c r="Q42" s="19">
        <f>25+1049951</f>
        <v>1049976</v>
      </c>
      <c r="R42" s="19"/>
      <c r="S42" s="19">
        <v>72848</v>
      </c>
      <c r="T42" s="19"/>
      <c r="U42" s="19">
        <v>3357</v>
      </c>
      <c r="V42" s="19"/>
      <c r="W42" s="19">
        <v>0</v>
      </c>
      <c r="X42" s="19"/>
      <c r="Y42" s="19">
        <v>0</v>
      </c>
      <c r="Z42" s="19"/>
      <c r="AA42" s="19">
        <v>0</v>
      </c>
      <c r="AB42" s="19"/>
      <c r="AC42" s="19">
        <v>112392</v>
      </c>
      <c r="AD42" s="19"/>
      <c r="AE42" s="19">
        <v>1467193</v>
      </c>
      <c r="AF42" s="19"/>
      <c r="AG42" s="19">
        <f t="shared" si="0"/>
        <v>1579585</v>
      </c>
    </row>
    <row r="43" spans="1:33" ht="12" customHeight="1" hidden="1">
      <c r="A43" s="16" t="s">
        <v>420</v>
      </c>
      <c r="B43" s="16"/>
      <c r="C43" s="16" t="s">
        <v>45</v>
      </c>
      <c r="D43" s="16"/>
      <c r="E43" s="19">
        <v>0</v>
      </c>
      <c r="F43" s="19"/>
      <c r="G43" s="19">
        <v>0</v>
      </c>
      <c r="H43" s="19"/>
      <c r="I43" s="19">
        <v>0</v>
      </c>
      <c r="J43" s="19"/>
      <c r="K43" s="19">
        <v>0</v>
      </c>
      <c r="L43" s="19"/>
      <c r="M43" s="19">
        <v>0</v>
      </c>
      <c r="N43" s="19"/>
      <c r="O43" s="19">
        <v>0</v>
      </c>
      <c r="P43" s="19"/>
      <c r="Q43" s="19">
        <v>0</v>
      </c>
      <c r="R43" s="19"/>
      <c r="S43" s="19">
        <v>0</v>
      </c>
      <c r="T43" s="19"/>
      <c r="U43" s="19">
        <v>0</v>
      </c>
      <c r="V43" s="19"/>
      <c r="W43" s="19">
        <v>0</v>
      </c>
      <c r="X43" s="19"/>
      <c r="Y43" s="19">
        <v>0</v>
      </c>
      <c r="Z43" s="19"/>
      <c r="AA43" s="19">
        <v>0</v>
      </c>
      <c r="AB43" s="19"/>
      <c r="AC43" s="19">
        <v>0</v>
      </c>
      <c r="AD43" s="19"/>
      <c r="AE43" s="19">
        <v>0</v>
      </c>
      <c r="AF43" s="19"/>
      <c r="AG43" s="19">
        <f t="shared" si="0"/>
        <v>0</v>
      </c>
    </row>
    <row r="44" spans="1:33" ht="12" customHeight="1" hidden="1">
      <c r="A44" s="13" t="s">
        <v>419</v>
      </c>
      <c r="B44" s="16"/>
      <c r="C44" s="16" t="s">
        <v>56</v>
      </c>
      <c r="D44" s="16"/>
      <c r="E44" s="19">
        <v>0</v>
      </c>
      <c r="F44" s="19"/>
      <c r="G44" s="19">
        <v>0</v>
      </c>
      <c r="H44" s="19"/>
      <c r="I44" s="19">
        <v>0</v>
      </c>
      <c r="J44" s="19"/>
      <c r="K44" s="19">
        <v>0</v>
      </c>
      <c r="L44" s="19"/>
      <c r="M44" s="19">
        <v>0</v>
      </c>
      <c r="N44" s="19"/>
      <c r="O44" s="19">
        <v>0</v>
      </c>
      <c r="P44" s="19"/>
      <c r="Q44" s="19">
        <v>0</v>
      </c>
      <c r="R44" s="19"/>
      <c r="S44" s="19">
        <v>0</v>
      </c>
      <c r="T44" s="19"/>
      <c r="U44" s="19">
        <v>0</v>
      </c>
      <c r="V44" s="19"/>
      <c r="W44" s="19">
        <v>0</v>
      </c>
      <c r="X44" s="19"/>
      <c r="Y44" s="19">
        <v>0</v>
      </c>
      <c r="Z44" s="19"/>
      <c r="AA44" s="19">
        <v>0</v>
      </c>
      <c r="AB44" s="19"/>
      <c r="AC44" s="19">
        <v>0</v>
      </c>
      <c r="AD44" s="19"/>
      <c r="AE44" s="19">
        <v>0</v>
      </c>
      <c r="AF44" s="19"/>
      <c r="AG44" s="19">
        <f t="shared" si="0"/>
        <v>0</v>
      </c>
    </row>
    <row r="45" spans="1:33" ht="12" customHeight="1" hidden="1">
      <c r="A45" s="13" t="s">
        <v>421</v>
      </c>
      <c r="B45" s="16"/>
      <c r="C45" s="16" t="s">
        <v>57</v>
      </c>
      <c r="D45" s="16"/>
      <c r="E45" s="19">
        <v>0</v>
      </c>
      <c r="F45" s="19"/>
      <c r="G45" s="19">
        <v>0</v>
      </c>
      <c r="H45" s="19"/>
      <c r="I45" s="19">
        <v>0</v>
      </c>
      <c r="J45" s="19"/>
      <c r="K45" s="19">
        <v>0</v>
      </c>
      <c r="L45" s="19"/>
      <c r="M45" s="19">
        <v>0</v>
      </c>
      <c r="N45" s="19"/>
      <c r="O45" s="19">
        <v>0</v>
      </c>
      <c r="P45" s="19"/>
      <c r="Q45" s="19">
        <v>0</v>
      </c>
      <c r="R45" s="19"/>
      <c r="S45" s="19">
        <v>0</v>
      </c>
      <c r="T45" s="19"/>
      <c r="U45" s="19">
        <v>0</v>
      </c>
      <c r="V45" s="19"/>
      <c r="W45" s="19">
        <v>0</v>
      </c>
      <c r="X45" s="19"/>
      <c r="Y45" s="19">
        <v>0</v>
      </c>
      <c r="Z45" s="19"/>
      <c r="AA45" s="19">
        <v>0</v>
      </c>
      <c r="AB45" s="19"/>
      <c r="AC45" s="19">
        <v>0</v>
      </c>
      <c r="AD45" s="19"/>
      <c r="AE45" s="19">
        <v>0</v>
      </c>
      <c r="AF45" s="19"/>
      <c r="AG45" s="19">
        <f t="shared" si="0"/>
        <v>0</v>
      </c>
    </row>
    <row r="46" spans="1:33" ht="12" customHeight="1" hidden="1">
      <c r="A46" s="13" t="s">
        <v>422</v>
      </c>
      <c r="B46" s="16"/>
      <c r="C46" s="16" t="s">
        <v>55</v>
      </c>
      <c r="D46" s="16"/>
      <c r="E46" s="19">
        <v>0</v>
      </c>
      <c r="F46" s="19"/>
      <c r="G46" s="19">
        <v>0</v>
      </c>
      <c r="H46" s="19"/>
      <c r="I46" s="19">
        <v>0</v>
      </c>
      <c r="J46" s="19"/>
      <c r="K46" s="19">
        <v>0</v>
      </c>
      <c r="L46" s="19"/>
      <c r="M46" s="19">
        <v>0</v>
      </c>
      <c r="N46" s="19"/>
      <c r="O46" s="19">
        <v>0</v>
      </c>
      <c r="P46" s="19"/>
      <c r="Q46" s="19">
        <v>0</v>
      </c>
      <c r="R46" s="19"/>
      <c r="S46" s="19">
        <v>0</v>
      </c>
      <c r="T46" s="19"/>
      <c r="U46" s="19">
        <v>0</v>
      </c>
      <c r="V46" s="19"/>
      <c r="W46" s="19">
        <v>0</v>
      </c>
      <c r="X46" s="19"/>
      <c r="Y46" s="19">
        <v>0</v>
      </c>
      <c r="Z46" s="19"/>
      <c r="AA46" s="19">
        <v>0</v>
      </c>
      <c r="AB46" s="19"/>
      <c r="AC46" s="19">
        <v>0</v>
      </c>
      <c r="AD46" s="19"/>
      <c r="AE46" s="19">
        <v>0</v>
      </c>
      <c r="AF46" s="19"/>
      <c r="AG46" s="19">
        <f t="shared" si="0"/>
        <v>0</v>
      </c>
    </row>
    <row r="47" spans="1:34" ht="12" customHeight="1">
      <c r="A47" s="3" t="s">
        <v>414</v>
      </c>
      <c r="B47" s="3"/>
      <c r="C47" s="3" t="s">
        <v>51</v>
      </c>
      <c r="D47" s="3"/>
      <c r="E47" s="3">
        <v>1496363.52</v>
      </c>
      <c r="F47" s="3"/>
      <c r="G47" s="3">
        <v>26463.32</v>
      </c>
      <c r="H47" s="3"/>
      <c r="I47" s="3">
        <v>0</v>
      </c>
      <c r="J47" s="3"/>
      <c r="K47" s="3">
        <v>0</v>
      </c>
      <c r="L47" s="3"/>
      <c r="M47" s="3">
        <v>-1469900.2</v>
      </c>
      <c r="N47" s="3"/>
      <c r="O47" s="3">
        <v>0</v>
      </c>
      <c r="P47" s="3"/>
      <c r="Q47" s="3">
        <v>884710.06</v>
      </c>
      <c r="R47" s="3"/>
      <c r="S47" s="3">
        <v>83731.61</v>
      </c>
      <c r="T47" s="3"/>
      <c r="U47" s="3">
        <v>57594.5</v>
      </c>
      <c r="V47" s="3"/>
      <c r="W47" s="3">
        <v>0</v>
      </c>
      <c r="X47" s="3"/>
      <c r="Y47" s="3">
        <v>0</v>
      </c>
      <c r="Z47" s="3"/>
      <c r="AA47" s="3">
        <v>0</v>
      </c>
      <c r="AB47" s="3"/>
      <c r="AC47" s="3">
        <v>-443864.03</v>
      </c>
      <c r="AD47" s="3"/>
      <c r="AE47" s="3">
        <v>1308846.07</v>
      </c>
      <c r="AF47" s="3"/>
      <c r="AG47" s="19">
        <f t="shared" si="0"/>
        <v>864982.04</v>
      </c>
      <c r="AH47" s="3"/>
    </row>
    <row r="48" spans="1:33" ht="12" customHeight="1" hidden="1">
      <c r="A48" s="13" t="s">
        <v>423</v>
      </c>
      <c r="B48" s="16"/>
      <c r="C48" s="16" t="s">
        <v>58</v>
      </c>
      <c r="D48" s="16"/>
      <c r="E48" s="19">
        <v>0</v>
      </c>
      <c r="F48" s="19"/>
      <c r="G48" s="19">
        <v>0</v>
      </c>
      <c r="H48" s="19"/>
      <c r="I48" s="19">
        <v>0</v>
      </c>
      <c r="J48" s="19"/>
      <c r="K48" s="19">
        <v>0</v>
      </c>
      <c r="L48" s="19"/>
      <c r="M48" s="19">
        <v>0</v>
      </c>
      <c r="N48" s="19"/>
      <c r="O48" s="19">
        <v>0</v>
      </c>
      <c r="P48" s="19"/>
      <c r="Q48" s="19">
        <v>0</v>
      </c>
      <c r="R48" s="19"/>
      <c r="S48" s="19">
        <v>0</v>
      </c>
      <c r="T48" s="19"/>
      <c r="U48" s="19">
        <v>0</v>
      </c>
      <c r="V48" s="19"/>
      <c r="W48" s="19">
        <v>0</v>
      </c>
      <c r="X48" s="19"/>
      <c r="Y48" s="19">
        <v>0</v>
      </c>
      <c r="Z48" s="19"/>
      <c r="AA48" s="19">
        <v>0</v>
      </c>
      <c r="AB48" s="19"/>
      <c r="AC48" s="19">
        <v>0</v>
      </c>
      <c r="AD48" s="19"/>
      <c r="AE48" s="19">
        <v>0</v>
      </c>
      <c r="AF48" s="19"/>
      <c r="AG48" s="19">
        <f t="shared" si="0"/>
        <v>0</v>
      </c>
    </row>
    <row r="49" spans="1:33" ht="12" customHeight="1" hidden="1">
      <c r="A49" s="13" t="s">
        <v>38</v>
      </c>
      <c r="B49" s="16"/>
      <c r="C49" s="16" t="s">
        <v>27</v>
      </c>
      <c r="D49" s="16"/>
      <c r="E49" s="19">
        <v>0</v>
      </c>
      <c r="F49" s="19"/>
      <c r="G49" s="19">
        <v>0</v>
      </c>
      <c r="H49" s="19"/>
      <c r="I49" s="19">
        <v>0</v>
      </c>
      <c r="J49" s="19"/>
      <c r="K49" s="19">
        <v>0</v>
      </c>
      <c r="L49" s="19"/>
      <c r="M49" s="19">
        <v>0</v>
      </c>
      <c r="N49" s="19"/>
      <c r="O49" s="19">
        <v>0</v>
      </c>
      <c r="P49" s="19"/>
      <c r="Q49" s="19">
        <v>0</v>
      </c>
      <c r="R49" s="19"/>
      <c r="S49" s="19">
        <v>0</v>
      </c>
      <c r="T49" s="19"/>
      <c r="U49" s="19">
        <v>0</v>
      </c>
      <c r="V49" s="19"/>
      <c r="W49" s="19">
        <v>0</v>
      </c>
      <c r="X49" s="19"/>
      <c r="Y49" s="19">
        <v>0</v>
      </c>
      <c r="Z49" s="19"/>
      <c r="AA49" s="19">
        <v>0</v>
      </c>
      <c r="AB49" s="19"/>
      <c r="AC49" s="19">
        <v>0</v>
      </c>
      <c r="AD49" s="19"/>
      <c r="AE49" s="19">
        <v>0</v>
      </c>
      <c r="AF49" s="19"/>
      <c r="AG49" s="19">
        <f t="shared" si="0"/>
        <v>0</v>
      </c>
    </row>
    <row r="50" spans="1:33" ht="12" customHeight="1" hidden="1">
      <c r="A50" s="16" t="s">
        <v>429</v>
      </c>
      <c r="B50" s="16"/>
      <c r="C50" s="16" t="s">
        <v>60</v>
      </c>
      <c r="D50" s="16"/>
      <c r="E50" s="19">
        <v>0</v>
      </c>
      <c r="F50" s="19"/>
      <c r="G50" s="19">
        <v>0</v>
      </c>
      <c r="H50" s="19"/>
      <c r="I50" s="19">
        <v>0</v>
      </c>
      <c r="J50" s="19"/>
      <c r="K50" s="19">
        <v>0</v>
      </c>
      <c r="L50" s="19"/>
      <c r="M50" s="19">
        <v>0</v>
      </c>
      <c r="N50" s="19"/>
      <c r="O50" s="19">
        <v>0</v>
      </c>
      <c r="P50" s="19"/>
      <c r="Q50" s="19">
        <v>0</v>
      </c>
      <c r="R50" s="19"/>
      <c r="S50" s="19">
        <v>0</v>
      </c>
      <c r="T50" s="19"/>
      <c r="U50" s="19">
        <v>0</v>
      </c>
      <c r="V50" s="19"/>
      <c r="W50" s="19">
        <v>0</v>
      </c>
      <c r="X50" s="19"/>
      <c r="Y50" s="19">
        <v>0</v>
      </c>
      <c r="Z50" s="19"/>
      <c r="AA50" s="19">
        <v>0</v>
      </c>
      <c r="AB50" s="19"/>
      <c r="AC50" s="19">
        <v>0</v>
      </c>
      <c r="AD50" s="19"/>
      <c r="AE50" s="19">
        <v>0</v>
      </c>
      <c r="AF50" s="19"/>
      <c r="AG50" s="19">
        <f aca="true" t="shared" si="1" ref="AG50:AG81">AE50+AC50</f>
        <v>0</v>
      </c>
    </row>
    <row r="51" spans="1:34" ht="12" customHeight="1">
      <c r="A51" s="3" t="s">
        <v>622</v>
      </c>
      <c r="B51" s="3"/>
      <c r="C51" s="3" t="s">
        <v>52</v>
      </c>
      <c r="D51" s="3"/>
      <c r="E51" s="3">
        <v>2875979.17</v>
      </c>
      <c r="F51" s="3"/>
      <c r="G51" s="3">
        <v>67979.55</v>
      </c>
      <c r="H51" s="3"/>
      <c r="I51" s="3">
        <v>9343.29</v>
      </c>
      <c r="J51" s="3"/>
      <c r="K51" s="3">
        <v>55301.2</v>
      </c>
      <c r="L51" s="3"/>
      <c r="M51" s="3">
        <v>-2743355.13</v>
      </c>
      <c r="N51" s="3"/>
      <c r="O51" s="3">
        <v>0</v>
      </c>
      <c r="P51" s="3"/>
      <c r="Q51" s="3">
        <v>2680513.67</v>
      </c>
      <c r="R51" s="3"/>
      <c r="S51" s="3">
        <v>43839.8</v>
      </c>
      <c r="T51" s="3"/>
      <c r="U51" s="3">
        <v>20185.4</v>
      </c>
      <c r="V51" s="3"/>
      <c r="W51" s="3">
        <v>0</v>
      </c>
      <c r="X51" s="3"/>
      <c r="Y51" s="3">
        <v>0</v>
      </c>
      <c r="Z51" s="3"/>
      <c r="AA51" s="3">
        <v>0</v>
      </c>
      <c r="AB51" s="3"/>
      <c r="AC51" s="3">
        <v>1183.74</v>
      </c>
      <c r="AD51" s="3"/>
      <c r="AE51" s="3">
        <v>717722.66</v>
      </c>
      <c r="AF51" s="3"/>
      <c r="AG51" s="19">
        <f t="shared" si="1"/>
        <v>718906.4</v>
      </c>
      <c r="AH51" s="3"/>
    </row>
    <row r="52" spans="1:33" ht="12" customHeight="1" hidden="1">
      <c r="A52" s="13" t="s">
        <v>39</v>
      </c>
      <c r="B52" s="16"/>
      <c r="C52" s="16" t="s">
        <v>60</v>
      </c>
      <c r="D52" s="16"/>
      <c r="E52" s="19">
        <v>0</v>
      </c>
      <c r="F52" s="19"/>
      <c r="G52" s="19">
        <v>0</v>
      </c>
      <c r="H52" s="19"/>
      <c r="I52" s="19">
        <v>0</v>
      </c>
      <c r="J52" s="19"/>
      <c r="K52" s="19">
        <v>0</v>
      </c>
      <c r="L52" s="19"/>
      <c r="M52" s="19">
        <v>0</v>
      </c>
      <c r="N52" s="19"/>
      <c r="O52" s="19">
        <v>0</v>
      </c>
      <c r="P52" s="19"/>
      <c r="Q52" s="19">
        <v>0</v>
      </c>
      <c r="R52" s="19"/>
      <c r="S52" s="19">
        <v>0</v>
      </c>
      <c r="T52" s="19"/>
      <c r="U52" s="19">
        <v>0</v>
      </c>
      <c r="V52" s="19"/>
      <c r="W52" s="19">
        <v>0</v>
      </c>
      <c r="X52" s="19"/>
      <c r="Y52" s="19">
        <v>0</v>
      </c>
      <c r="Z52" s="19"/>
      <c r="AA52" s="19">
        <v>0</v>
      </c>
      <c r="AB52" s="19"/>
      <c r="AC52" s="19">
        <v>0</v>
      </c>
      <c r="AD52" s="19"/>
      <c r="AE52" s="19">
        <v>0</v>
      </c>
      <c r="AF52" s="19"/>
      <c r="AG52" s="19">
        <f t="shared" si="1"/>
        <v>0</v>
      </c>
    </row>
    <row r="53" spans="1:33" ht="12" customHeight="1" hidden="1">
      <c r="A53" s="13" t="s">
        <v>424</v>
      </c>
      <c r="B53" s="16"/>
      <c r="C53" s="16" t="s">
        <v>61</v>
      </c>
      <c r="D53" s="16"/>
      <c r="E53" s="19">
        <v>0</v>
      </c>
      <c r="F53" s="19"/>
      <c r="G53" s="19">
        <v>0</v>
      </c>
      <c r="H53" s="19"/>
      <c r="I53" s="19">
        <v>0</v>
      </c>
      <c r="J53" s="19"/>
      <c r="K53" s="19">
        <v>0</v>
      </c>
      <c r="L53" s="19"/>
      <c r="M53" s="19">
        <v>0</v>
      </c>
      <c r="N53" s="19"/>
      <c r="O53" s="19">
        <v>0</v>
      </c>
      <c r="P53" s="19"/>
      <c r="Q53" s="19">
        <v>0</v>
      </c>
      <c r="R53" s="19"/>
      <c r="S53" s="19">
        <v>0</v>
      </c>
      <c r="T53" s="19"/>
      <c r="U53" s="19">
        <v>0</v>
      </c>
      <c r="V53" s="19"/>
      <c r="W53" s="19">
        <v>0</v>
      </c>
      <c r="X53" s="19"/>
      <c r="Y53" s="19">
        <v>0</v>
      </c>
      <c r="Z53" s="19"/>
      <c r="AA53" s="19">
        <v>0</v>
      </c>
      <c r="AB53" s="19"/>
      <c r="AC53" s="19">
        <v>0</v>
      </c>
      <c r="AD53" s="19"/>
      <c r="AE53" s="19">
        <v>0</v>
      </c>
      <c r="AF53" s="19"/>
      <c r="AG53" s="19">
        <f t="shared" si="1"/>
        <v>0</v>
      </c>
    </row>
    <row r="54" spans="1:33" ht="12" customHeight="1" hidden="1">
      <c r="A54" s="16" t="s">
        <v>179</v>
      </c>
      <c r="B54" s="16"/>
      <c r="C54" s="16" t="s">
        <v>59</v>
      </c>
      <c r="D54" s="16"/>
      <c r="E54" s="19">
        <v>0</v>
      </c>
      <c r="F54" s="19"/>
      <c r="G54" s="19">
        <v>0</v>
      </c>
      <c r="H54" s="19"/>
      <c r="I54" s="19">
        <v>0</v>
      </c>
      <c r="J54" s="19"/>
      <c r="K54" s="19">
        <v>0</v>
      </c>
      <c r="L54" s="19"/>
      <c r="M54" s="19">
        <v>0</v>
      </c>
      <c r="N54" s="19"/>
      <c r="O54" s="19">
        <v>0</v>
      </c>
      <c r="P54" s="19"/>
      <c r="Q54" s="19">
        <v>0</v>
      </c>
      <c r="R54" s="19"/>
      <c r="S54" s="19">
        <v>0</v>
      </c>
      <c r="T54" s="19"/>
      <c r="U54" s="19">
        <v>0</v>
      </c>
      <c r="V54" s="19"/>
      <c r="W54" s="19">
        <v>0</v>
      </c>
      <c r="X54" s="19"/>
      <c r="Y54" s="19">
        <v>0</v>
      </c>
      <c r="Z54" s="19"/>
      <c r="AA54" s="19">
        <v>0</v>
      </c>
      <c r="AB54" s="19"/>
      <c r="AC54" s="19">
        <v>0</v>
      </c>
      <c r="AD54" s="19"/>
      <c r="AE54" s="19">
        <v>0</v>
      </c>
      <c r="AF54" s="19"/>
      <c r="AG54" s="19">
        <f t="shared" si="1"/>
        <v>0</v>
      </c>
    </row>
    <row r="55" spans="1:33" ht="12" customHeight="1" hidden="1">
      <c r="A55" s="13" t="s">
        <v>40</v>
      </c>
      <c r="B55" s="16"/>
      <c r="C55" s="16" t="s">
        <v>13</v>
      </c>
      <c r="D55" s="16"/>
      <c r="E55" s="19">
        <v>0</v>
      </c>
      <c r="F55" s="19"/>
      <c r="G55" s="19">
        <v>0</v>
      </c>
      <c r="H55" s="19"/>
      <c r="I55" s="19">
        <v>0</v>
      </c>
      <c r="J55" s="19"/>
      <c r="K55" s="19">
        <v>0</v>
      </c>
      <c r="L55" s="19"/>
      <c r="M55" s="19">
        <v>0</v>
      </c>
      <c r="N55" s="19"/>
      <c r="O55" s="19">
        <v>0</v>
      </c>
      <c r="P55" s="19"/>
      <c r="Q55" s="19">
        <v>0</v>
      </c>
      <c r="R55" s="19"/>
      <c r="S55" s="19">
        <v>0</v>
      </c>
      <c r="T55" s="19"/>
      <c r="U55" s="19">
        <v>0</v>
      </c>
      <c r="V55" s="19"/>
      <c r="W55" s="19">
        <v>0</v>
      </c>
      <c r="X55" s="19"/>
      <c r="Y55" s="19">
        <v>0</v>
      </c>
      <c r="Z55" s="19"/>
      <c r="AA55" s="19">
        <v>0</v>
      </c>
      <c r="AB55" s="19"/>
      <c r="AC55" s="19">
        <v>0</v>
      </c>
      <c r="AD55" s="19"/>
      <c r="AE55" s="19">
        <v>0</v>
      </c>
      <c r="AF55" s="19"/>
      <c r="AG55" s="19">
        <f t="shared" si="1"/>
        <v>0</v>
      </c>
    </row>
    <row r="56" spans="1:33" ht="12" customHeight="1" hidden="1">
      <c r="A56" s="16" t="s">
        <v>428</v>
      </c>
      <c r="B56" s="16"/>
      <c r="C56" s="16" t="s">
        <v>186</v>
      </c>
      <c r="D56" s="16"/>
      <c r="E56" s="19">
        <v>0</v>
      </c>
      <c r="F56" s="19"/>
      <c r="G56" s="19">
        <v>0</v>
      </c>
      <c r="H56" s="19"/>
      <c r="I56" s="19">
        <v>0</v>
      </c>
      <c r="J56" s="19"/>
      <c r="K56" s="19">
        <v>0</v>
      </c>
      <c r="L56" s="19"/>
      <c r="M56" s="19">
        <v>0</v>
      </c>
      <c r="N56" s="19"/>
      <c r="O56" s="19">
        <v>0</v>
      </c>
      <c r="P56" s="19"/>
      <c r="Q56" s="19">
        <v>0</v>
      </c>
      <c r="R56" s="19"/>
      <c r="S56" s="19">
        <v>0</v>
      </c>
      <c r="T56" s="19"/>
      <c r="U56" s="19">
        <v>0</v>
      </c>
      <c r="V56" s="19"/>
      <c r="W56" s="19">
        <v>0</v>
      </c>
      <c r="X56" s="19"/>
      <c r="Y56" s="19">
        <v>0</v>
      </c>
      <c r="Z56" s="19"/>
      <c r="AA56" s="19">
        <v>0</v>
      </c>
      <c r="AB56" s="19"/>
      <c r="AC56" s="19">
        <v>0</v>
      </c>
      <c r="AD56" s="19"/>
      <c r="AE56" s="19">
        <v>0</v>
      </c>
      <c r="AF56" s="19"/>
      <c r="AG56" s="19">
        <f t="shared" si="1"/>
        <v>0</v>
      </c>
    </row>
    <row r="57" spans="1:33" ht="12" customHeight="1" hidden="1">
      <c r="A57" s="13" t="s">
        <v>425</v>
      </c>
      <c r="B57" s="16"/>
      <c r="C57" s="16" t="s">
        <v>62</v>
      </c>
      <c r="D57" s="16"/>
      <c r="E57" s="19">
        <v>0</v>
      </c>
      <c r="F57" s="19"/>
      <c r="G57" s="19">
        <v>0</v>
      </c>
      <c r="H57" s="19"/>
      <c r="I57" s="19">
        <v>0</v>
      </c>
      <c r="J57" s="19"/>
      <c r="K57" s="19">
        <v>0</v>
      </c>
      <c r="L57" s="19"/>
      <c r="M57" s="19">
        <v>0</v>
      </c>
      <c r="N57" s="19"/>
      <c r="O57" s="19">
        <v>0</v>
      </c>
      <c r="P57" s="19"/>
      <c r="Q57" s="19">
        <v>0</v>
      </c>
      <c r="R57" s="19"/>
      <c r="S57" s="19">
        <v>0</v>
      </c>
      <c r="T57" s="19"/>
      <c r="U57" s="19">
        <v>0</v>
      </c>
      <c r="V57" s="19"/>
      <c r="W57" s="19">
        <v>0</v>
      </c>
      <c r="X57" s="19"/>
      <c r="Y57" s="19">
        <v>0</v>
      </c>
      <c r="Z57" s="19"/>
      <c r="AA57" s="19">
        <v>0</v>
      </c>
      <c r="AB57" s="19"/>
      <c r="AC57" s="19">
        <v>0</v>
      </c>
      <c r="AD57" s="19"/>
      <c r="AE57" s="19">
        <v>0</v>
      </c>
      <c r="AF57" s="19"/>
      <c r="AG57" s="19">
        <f t="shared" si="1"/>
        <v>0</v>
      </c>
    </row>
    <row r="58" spans="1:34" ht="12" customHeight="1">
      <c r="A58" s="3" t="s">
        <v>616</v>
      </c>
      <c r="B58" s="3"/>
      <c r="C58" s="3" t="s">
        <v>27</v>
      </c>
      <c r="D58" s="3"/>
      <c r="E58" s="3">
        <v>546782.18</v>
      </c>
      <c r="F58" s="3"/>
      <c r="G58" s="3">
        <v>7761.33</v>
      </c>
      <c r="H58" s="3"/>
      <c r="I58" s="3">
        <v>0</v>
      </c>
      <c r="J58" s="3"/>
      <c r="K58" s="3">
        <v>0</v>
      </c>
      <c r="L58" s="3"/>
      <c r="M58" s="3">
        <v>-539020.85</v>
      </c>
      <c r="N58" s="3"/>
      <c r="O58" s="3">
        <v>0</v>
      </c>
      <c r="P58" s="3"/>
      <c r="Q58" s="3">
        <v>457758.32</v>
      </c>
      <c r="R58" s="3"/>
      <c r="S58" s="3">
        <v>36698.48</v>
      </c>
      <c r="T58" s="3"/>
      <c r="U58" s="3">
        <v>1464.61</v>
      </c>
      <c r="V58" s="3"/>
      <c r="W58" s="3">
        <v>0</v>
      </c>
      <c r="X58" s="3"/>
      <c r="Y58" s="3">
        <v>0</v>
      </c>
      <c r="Z58" s="3"/>
      <c r="AA58" s="3">
        <v>1069.77</v>
      </c>
      <c r="AB58" s="3"/>
      <c r="AC58" s="3">
        <v>-42029.67</v>
      </c>
      <c r="AD58" s="3"/>
      <c r="AE58" s="3">
        <v>1088818.68</v>
      </c>
      <c r="AF58" s="3"/>
      <c r="AG58" s="19">
        <f t="shared" si="1"/>
        <v>1046789.0099999999</v>
      </c>
      <c r="AH58" s="3"/>
    </row>
    <row r="59" spans="1:33" ht="12" customHeight="1" hidden="1">
      <c r="A59" s="13" t="s">
        <v>426</v>
      </c>
      <c r="B59" s="16"/>
      <c r="C59" s="16" t="s">
        <v>57</v>
      </c>
      <c r="D59" s="16"/>
      <c r="E59" s="19">
        <v>0</v>
      </c>
      <c r="F59" s="19"/>
      <c r="G59" s="19">
        <v>0</v>
      </c>
      <c r="H59" s="19"/>
      <c r="I59" s="19">
        <v>0</v>
      </c>
      <c r="J59" s="19"/>
      <c r="K59" s="19">
        <v>0</v>
      </c>
      <c r="L59" s="19"/>
      <c r="M59" s="19">
        <v>0</v>
      </c>
      <c r="N59" s="19"/>
      <c r="O59" s="19">
        <v>0</v>
      </c>
      <c r="P59" s="19"/>
      <c r="Q59" s="19">
        <v>0</v>
      </c>
      <c r="R59" s="19"/>
      <c r="S59" s="19">
        <v>0</v>
      </c>
      <c r="T59" s="19"/>
      <c r="U59" s="19">
        <v>0</v>
      </c>
      <c r="V59" s="19"/>
      <c r="W59" s="19">
        <v>0</v>
      </c>
      <c r="X59" s="19"/>
      <c r="Y59" s="19">
        <v>0</v>
      </c>
      <c r="Z59" s="19"/>
      <c r="AA59" s="19">
        <v>0</v>
      </c>
      <c r="AB59" s="19"/>
      <c r="AC59" s="19">
        <v>0</v>
      </c>
      <c r="AD59" s="19"/>
      <c r="AE59" s="19">
        <v>0</v>
      </c>
      <c r="AF59" s="19"/>
      <c r="AG59" s="19">
        <f t="shared" si="1"/>
        <v>0</v>
      </c>
    </row>
    <row r="60" spans="1:33" ht="12" customHeight="1" hidden="1">
      <c r="A60" s="13" t="s">
        <v>427</v>
      </c>
      <c r="B60" s="16"/>
      <c r="C60" s="16" t="s">
        <v>54</v>
      </c>
      <c r="D60" s="16"/>
      <c r="E60" s="19">
        <v>0</v>
      </c>
      <c r="F60" s="19"/>
      <c r="G60" s="19">
        <v>0</v>
      </c>
      <c r="H60" s="19"/>
      <c r="I60" s="19">
        <v>0</v>
      </c>
      <c r="J60" s="19"/>
      <c r="K60" s="19">
        <v>0</v>
      </c>
      <c r="L60" s="19"/>
      <c r="M60" s="19">
        <v>0</v>
      </c>
      <c r="N60" s="19"/>
      <c r="O60" s="19">
        <v>0</v>
      </c>
      <c r="P60" s="19"/>
      <c r="Q60" s="19">
        <v>0</v>
      </c>
      <c r="R60" s="19"/>
      <c r="S60" s="19">
        <v>0</v>
      </c>
      <c r="T60" s="19"/>
      <c r="U60" s="19">
        <v>0</v>
      </c>
      <c r="V60" s="19"/>
      <c r="W60" s="19">
        <v>0</v>
      </c>
      <c r="X60" s="19"/>
      <c r="Y60" s="19">
        <v>0</v>
      </c>
      <c r="Z60" s="19"/>
      <c r="AA60" s="19">
        <v>0</v>
      </c>
      <c r="AB60" s="19"/>
      <c r="AC60" s="19">
        <v>0</v>
      </c>
      <c r="AD60" s="19"/>
      <c r="AE60" s="19">
        <v>0</v>
      </c>
      <c r="AF60" s="19"/>
      <c r="AG60" s="19">
        <f t="shared" si="1"/>
        <v>0</v>
      </c>
    </row>
    <row r="61" spans="1:33" ht="12" customHeight="1">
      <c r="A61" s="31" t="s">
        <v>483</v>
      </c>
      <c r="B61" s="16"/>
      <c r="C61" s="16" t="s">
        <v>20</v>
      </c>
      <c r="D61" s="16"/>
      <c r="E61" s="19">
        <v>2557365</v>
      </c>
      <c r="F61" s="19"/>
      <c r="G61" s="19">
        <v>144698</v>
      </c>
      <c r="H61" s="19"/>
      <c r="I61" s="19">
        <v>3206</v>
      </c>
      <c r="J61" s="19"/>
      <c r="K61" s="19">
        <v>0</v>
      </c>
      <c r="L61" s="19"/>
      <c r="M61" s="19">
        <v>-9491091</v>
      </c>
      <c r="N61" s="19"/>
      <c r="O61" s="19">
        <v>4542422</v>
      </c>
      <c r="P61" s="19"/>
      <c r="Q61" s="19">
        <v>3146496</v>
      </c>
      <c r="R61" s="19"/>
      <c r="S61" s="19">
        <v>161878</v>
      </c>
      <c r="T61" s="19"/>
      <c r="U61" s="19">
        <v>90942</v>
      </c>
      <c r="V61" s="19"/>
      <c r="W61" s="19">
        <v>0</v>
      </c>
      <c r="X61" s="19"/>
      <c r="Y61" s="19">
        <v>0</v>
      </c>
      <c r="Z61" s="19"/>
      <c r="AA61" s="19">
        <v>0</v>
      </c>
      <c r="AB61" s="19"/>
      <c r="AC61" s="19">
        <v>-1549353</v>
      </c>
      <c r="AD61" s="19"/>
      <c r="AE61" s="19">
        <v>23442275</v>
      </c>
      <c r="AF61" s="19"/>
      <c r="AG61" s="19">
        <f t="shared" si="1"/>
        <v>21892922</v>
      </c>
    </row>
    <row r="62" spans="1:33" ht="12" customHeight="1">
      <c r="A62" s="31" t="s">
        <v>484</v>
      </c>
      <c r="B62" s="31"/>
      <c r="C62" s="31" t="s">
        <v>20</v>
      </c>
      <c r="D62" s="16"/>
      <c r="E62" s="19">
        <v>56952692</v>
      </c>
      <c r="F62" s="19"/>
      <c r="G62" s="19">
        <v>3331640</v>
      </c>
      <c r="H62" s="19"/>
      <c r="I62" s="19">
        <v>1993483</v>
      </c>
      <c r="J62" s="19"/>
      <c r="K62" s="19">
        <v>0</v>
      </c>
      <c r="L62" s="19"/>
      <c r="M62" s="19">
        <v>-65336300</v>
      </c>
      <c r="N62" s="19"/>
      <c r="O62" s="19">
        <v>29866202</v>
      </c>
      <c r="P62" s="19"/>
      <c r="Q62" s="19">
        <v>32786134</v>
      </c>
      <c r="R62" s="19"/>
      <c r="S62" s="19">
        <v>2488794</v>
      </c>
      <c r="T62" s="19"/>
      <c r="U62" s="19">
        <v>253373</v>
      </c>
      <c r="V62" s="19"/>
      <c r="W62" s="19">
        <v>0</v>
      </c>
      <c r="X62" s="19"/>
      <c r="Y62" s="19">
        <v>0</v>
      </c>
      <c r="Z62" s="19"/>
      <c r="AA62" s="19">
        <v>0</v>
      </c>
      <c r="AB62" s="19"/>
      <c r="AC62" s="19">
        <v>58203</v>
      </c>
      <c r="AD62" s="19"/>
      <c r="AE62" s="19">
        <v>180105875</v>
      </c>
      <c r="AF62" s="19"/>
      <c r="AG62" s="19">
        <f t="shared" si="1"/>
        <v>180164078</v>
      </c>
    </row>
    <row r="63" spans="1:33" ht="12" customHeight="1" hidden="1">
      <c r="A63" s="16" t="s">
        <v>440</v>
      </c>
      <c r="B63" s="16"/>
      <c r="C63" s="16" t="s">
        <v>207</v>
      </c>
      <c r="D63" s="16"/>
      <c r="E63" s="19">
        <v>0</v>
      </c>
      <c r="F63" s="19"/>
      <c r="G63" s="19">
        <v>0</v>
      </c>
      <c r="H63" s="19"/>
      <c r="I63" s="19">
        <v>0</v>
      </c>
      <c r="J63" s="19"/>
      <c r="K63" s="19">
        <v>0</v>
      </c>
      <c r="L63" s="19"/>
      <c r="M63" s="19">
        <v>0</v>
      </c>
      <c r="N63" s="19"/>
      <c r="O63" s="19">
        <v>0</v>
      </c>
      <c r="P63" s="19"/>
      <c r="Q63" s="19">
        <v>0</v>
      </c>
      <c r="R63" s="19"/>
      <c r="S63" s="19">
        <v>0</v>
      </c>
      <c r="T63" s="19"/>
      <c r="U63" s="19">
        <v>0</v>
      </c>
      <c r="V63" s="19"/>
      <c r="W63" s="19">
        <v>0</v>
      </c>
      <c r="X63" s="19"/>
      <c r="Y63" s="19">
        <v>0</v>
      </c>
      <c r="Z63" s="19"/>
      <c r="AA63" s="19">
        <v>0</v>
      </c>
      <c r="AB63" s="19"/>
      <c r="AC63" s="19">
        <v>0</v>
      </c>
      <c r="AD63" s="19"/>
      <c r="AE63" s="19">
        <v>0</v>
      </c>
      <c r="AF63" s="19"/>
      <c r="AG63" s="19">
        <f t="shared" si="1"/>
        <v>0</v>
      </c>
    </row>
    <row r="64" spans="1:33" ht="12" customHeight="1" hidden="1">
      <c r="A64" s="13" t="s">
        <v>430</v>
      </c>
      <c r="B64" s="16"/>
      <c r="C64" s="16" t="s">
        <v>57</v>
      </c>
      <c r="D64" s="16"/>
      <c r="E64" s="19">
        <v>0</v>
      </c>
      <c r="F64" s="19"/>
      <c r="G64" s="19">
        <v>0</v>
      </c>
      <c r="H64" s="19"/>
      <c r="I64" s="19">
        <v>0</v>
      </c>
      <c r="J64" s="19"/>
      <c r="K64" s="19">
        <v>0</v>
      </c>
      <c r="L64" s="19"/>
      <c r="M64" s="19">
        <v>0</v>
      </c>
      <c r="N64" s="19"/>
      <c r="O64" s="19">
        <v>0</v>
      </c>
      <c r="P64" s="19"/>
      <c r="Q64" s="19">
        <v>0</v>
      </c>
      <c r="R64" s="19"/>
      <c r="S64" s="19">
        <v>0</v>
      </c>
      <c r="T64" s="19"/>
      <c r="U64" s="19">
        <v>0</v>
      </c>
      <c r="V64" s="19"/>
      <c r="W64" s="19">
        <v>0</v>
      </c>
      <c r="X64" s="19"/>
      <c r="Y64" s="19">
        <v>0</v>
      </c>
      <c r="Z64" s="19"/>
      <c r="AA64" s="19">
        <v>0</v>
      </c>
      <c r="AB64" s="19"/>
      <c r="AC64" s="19">
        <v>0</v>
      </c>
      <c r="AD64" s="19"/>
      <c r="AE64" s="19">
        <v>0</v>
      </c>
      <c r="AF64" s="19"/>
      <c r="AG64" s="19">
        <f t="shared" si="1"/>
        <v>0</v>
      </c>
    </row>
    <row r="65" spans="1:33" ht="12" customHeight="1" hidden="1">
      <c r="A65" s="13" t="s">
        <v>431</v>
      </c>
      <c r="B65" s="16"/>
      <c r="C65" s="16" t="s">
        <v>64</v>
      </c>
      <c r="D65" s="16"/>
      <c r="E65" s="19">
        <v>0</v>
      </c>
      <c r="F65" s="19"/>
      <c r="G65" s="19">
        <v>0</v>
      </c>
      <c r="H65" s="19"/>
      <c r="I65" s="19">
        <v>0</v>
      </c>
      <c r="J65" s="19"/>
      <c r="K65" s="19">
        <v>0</v>
      </c>
      <c r="L65" s="19"/>
      <c r="M65" s="19">
        <v>0</v>
      </c>
      <c r="N65" s="19"/>
      <c r="O65" s="19">
        <v>0</v>
      </c>
      <c r="P65" s="19"/>
      <c r="Q65" s="19">
        <v>0</v>
      </c>
      <c r="R65" s="19"/>
      <c r="S65" s="19">
        <v>0</v>
      </c>
      <c r="T65" s="19"/>
      <c r="U65" s="19">
        <v>0</v>
      </c>
      <c r="V65" s="19"/>
      <c r="W65" s="19">
        <v>0</v>
      </c>
      <c r="X65" s="19"/>
      <c r="Y65" s="19">
        <v>0</v>
      </c>
      <c r="Z65" s="19"/>
      <c r="AA65" s="19">
        <v>0</v>
      </c>
      <c r="AB65" s="19"/>
      <c r="AC65" s="19">
        <v>0</v>
      </c>
      <c r="AD65" s="19"/>
      <c r="AE65" s="19">
        <v>0</v>
      </c>
      <c r="AF65" s="19"/>
      <c r="AG65" s="19">
        <f t="shared" si="1"/>
        <v>0</v>
      </c>
    </row>
    <row r="66" spans="1:33" ht="12" customHeight="1" hidden="1">
      <c r="A66" s="13" t="s">
        <v>432</v>
      </c>
      <c r="B66" s="16"/>
      <c r="C66" s="16" t="s">
        <v>57</v>
      </c>
      <c r="D66" s="16"/>
      <c r="E66" s="19">
        <v>0</v>
      </c>
      <c r="F66" s="19"/>
      <c r="G66" s="19">
        <v>0</v>
      </c>
      <c r="H66" s="19"/>
      <c r="I66" s="19">
        <v>0</v>
      </c>
      <c r="J66" s="19"/>
      <c r="K66" s="19">
        <v>0</v>
      </c>
      <c r="L66" s="19"/>
      <c r="M66" s="19">
        <v>0</v>
      </c>
      <c r="N66" s="19"/>
      <c r="O66" s="19">
        <v>0</v>
      </c>
      <c r="P66" s="19"/>
      <c r="Q66" s="19">
        <v>0</v>
      </c>
      <c r="R66" s="19"/>
      <c r="S66" s="19">
        <v>0</v>
      </c>
      <c r="T66" s="19"/>
      <c r="U66" s="19">
        <v>0</v>
      </c>
      <c r="V66" s="19"/>
      <c r="W66" s="19">
        <v>0</v>
      </c>
      <c r="X66" s="19"/>
      <c r="Y66" s="19">
        <v>0</v>
      </c>
      <c r="Z66" s="19"/>
      <c r="AA66" s="19">
        <v>0</v>
      </c>
      <c r="AB66" s="19"/>
      <c r="AC66" s="19">
        <v>0</v>
      </c>
      <c r="AD66" s="19"/>
      <c r="AE66" s="19">
        <v>0</v>
      </c>
      <c r="AF66" s="19"/>
      <c r="AG66" s="19">
        <f t="shared" si="1"/>
        <v>0</v>
      </c>
    </row>
    <row r="67" spans="1:33" ht="12" customHeight="1" hidden="1">
      <c r="A67" s="13" t="s">
        <v>433</v>
      </c>
      <c r="B67" s="16"/>
      <c r="C67" s="16" t="s">
        <v>65</v>
      </c>
      <c r="D67" s="16"/>
      <c r="E67" s="19">
        <v>0</v>
      </c>
      <c r="F67" s="19"/>
      <c r="G67" s="19">
        <v>0</v>
      </c>
      <c r="H67" s="19"/>
      <c r="I67" s="19">
        <v>0</v>
      </c>
      <c r="J67" s="19"/>
      <c r="K67" s="19">
        <v>0</v>
      </c>
      <c r="L67" s="19"/>
      <c r="M67" s="19">
        <v>0</v>
      </c>
      <c r="N67" s="19"/>
      <c r="O67" s="19">
        <v>0</v>
      </c>
      <c r="P67" s="19"/>
      <c r="Q67" s="19">
        <v>0</v>
      </c>
      <c r="R67" s="19"/>
      <c r="S67" s="19">
        <v>0</v>
      </c>
      <c r="T67" s="19"/>
      <c r="U67" s="19">
        <v>0</v>
      </c>
      <c r="V67" s="19"/>
      <c r="W67" s="19">
        <v>0</v>
      </c>
      <c r="X67" s="19"/>
      <c r="Y67" s="19">
        <v>0</v>
      </c>
      <c r="Z67" s="19"/>
      <c r="AA67" s="19">
        <v>0</v>
      </c>
      <c r="AB67" s="19"/>
      <c r="AC67" s="19">
        <v>0</v>
      </c>
      <c r="AD67" s="19"/>
      <c r="AE67" s="19">
        <v>0</v>
      </c>
      <c r="AF67" s="19"/>
      <c r="AG67" s="19">
        <f t="shared" si="1"/>
        <v>0</v>
      </c>
    </row>
    <row r="68" spans="1:34" ht="12" customHeight="1">
      <c r="A68" s="3" t="s">
        <v>75</v>
      </c>
      <c r="B68" s="3"/>
      <c r="C68" s="3" t="s">
        <v>53</v>
      </c>
      <c r="D68" s="3"/>
      <c r="E68" s="3">
        <v>280603.61</v>
      </c>
      <c r="F68" s="3"/>
      <c r="G68" s="3">
        <v>8024.06</v>
      </c>
      <c r="H68" s="3"/>
      <c r="I68" s="3">
        <v>0</v>
      </c>
      <c r="J68" s="3"/>
      <c r="K68" s="3">
        <v>0</v>
      </c>
      <c r="L68" s="3"/>
      <c r="M68" s="3">
        <v>-272579.55</v>
      </c>
      <c r="N68" s="3"/>
      <c r="O68" s="3">
        <v>0</v>
      </c>
      <c r="P68" s="3"/>
      <c r="Q68" s="3">
        <v>259539.93</v>
      </c>
      <c r="R68" s="3"/>
      <c r="S68" s="3">
        <v>4259.08</v>
      </c>
      <c r="T68" s="3"/>
      <c r="U68" s="3">
        <v>2120.51</v>
      </c>
      <c r="V68" s="3"/>
      <c r="W68" s="3">
        <v>0</v>
      </c>
      <c r="X68" s="3"/>
      <c r="Y68" s="3">
        <v>0</v>
      </c>
      <c r="Z68" s="3"/>
      <c r="AA68" s="3">
        <v>0</v>
      </c>
      <c r="AB68" s="3"/>
      <c r="AC68" s="3">
        <v>-6660.03</v>
      </c>
      <c r="AD68" s="3"/>
      <c r="AE68" s="3">
        <v>91664.51</v>
      </c>
      <c r="AF68" s="3"/>
      <c r="AG68" s="19">
        <f t="shared" si="1"/>
        <v>85004.48</v>
      </c>
      <c r="AH68" s="3"/>
    </row>
    <row r="69" spans="1:33" ht="12" customHeight="1" hidden="1">
      <c r="A69" s="13" t="s">
        <v>434</v>
      </c>
      <c r="B69" s="16"/>
      <c r="C69" s="16" t="s">
        <v>26</v>
      </c>
      <c r="D69" s="16"/>
      <c r="E69" s="19">
        <v>0</v>
      </c>
      <c r="F69" s="19"/>
      <c r="G69" s="19">
        <v>0</v>
      </c>
      <c r="H69" s="19"/>
      <c r="I69" s="19">
        <v>0</v>
      </c>
      <c r="J69" s="19"/>
      <c r="K69" s="19">
        <v>0</v>
      </c>
      <c r="L69" s="19"/>
      <c r="M69" s="19">
        <v>0</v>
      </c>
      <c r="N69" s="19"/>
      <c r="O69" s="19">
        <v>0</v>
      </c>
      <c r="P69" s="19"/>
      <c r="Q69" s="19">
        <v>0</v>
      </c>
      <c r="R69" s="19"/>
      <c r="S69" s="19">
        <v>0</v>
      </c>
      <c r="T69" s="19"/>
      <c r="U69" s="19">
        <v>0</v>
      </c>
      <c r="V69" s="19"/>
      <c r="W69" s="19">
        <v>0</v>
      </c>
      <c r="X69" s="19"/>
      <c r="Y69" s="19">
        <v>0</v>
      </c>
      <c r="Z69" s="19"/>
      <c r="AA69" s="19">
        <v>0</v>
      </c>
      <c r="AB69" s="19"/>
      <c r="AC69" s="19">
        <v>0</v>
      </c>
      <c r="AD69" s="19"/>
      <c r="AE69" s="19">
        <v>0</v>
      </c>
      <c r="AF69" s="19"/>
      <c r="AG69" s="19">
        <f t="shared" si="1"/>
        <v>0</v>
      </c>
    </row>
    <row r="70" spans="1:33" ht="12" customHeight="1" hidden="1">
      <c r="A70" s="13" t="s">
        <v>435</v>
      </c>
      <c r="B70" s="16"/>
      <c r="C70" s="16" t="s">
        <v>406</v>
      </c>
      <c r="D70" s="16"/>
      <c r="E70" s="19">
        <v>0</v>
      </c>
      <c r="F70" s="19"/>
      <c r="G70" s="19">
        <v>0</v>
      </c>
      <c r="H70" s="19"/>
      <c r="I70" s="19">
        <v>0</v>
      </c>
      <c r="J70" s="19"/>
      <c r="K70" s="19">
        <v>0</v>
      </c>
      <c r="L70" s="19"/>
      <c r="M70" s="19">
        <v>0</v>
      </c>
      <c r="N70" s="19"/>
      <c r="O70" s="19">
        <v>0</v>
      </c>
      <c r="P70" s="19"/>
      <c r="Q70" s="19">
        <v>0</v>
      </c>
      <c r="R70" s="19"/>
      <c r="S70" s="19">
        <v>0</v>
      </c>
      <c r="T70" s="19"/>
      <c r="U70" s="19">
        <v>0</v>
      </c>
      <c r="V70" s="19"/>
      <c r="W70" s="19">
        <v>0</v>
      </c>
      <c r="X70" s="19"/>
      <c r="Y70" s="19">
        <v>0</v>
      </c>
      <c r="Z70" s="19"/>
      <c r="AA70" s="19">
        <v>0</v>
      </c>
      <c r="AB70" s="19"/>
      <c r="AC70" s="19">
        <v>0</v>
      </c>
      <c r="AD70" s="19"/>
      <c r="AE70" s="19">
        <v>0</v>
      </c>
      <c r="AF70" s="19"/>
      <c r="AG70" s="19">
        <f t="shared" si="1"/>
        <v>0</v>
      </c>
    </row>
    <row r="71" spans="1:33" ht="12" customHeight="1" hidden="1">
      <c r="A71" s="16" t="s">
        <v>441</v>
      </c>
      <c r="B71" s="16"/>
      <c r="C71" s="16" t="s">
        <v>13</v>
      </c>
      <c r="D71" s="16"/>
      <c r="E71" s="19">
        <v>0</v>
      </c>
      <c r="F71" s="19"/>
      <c r="G71" s="19">
        <v>0</v>
      </c>
      <c r="H71" s="19"/>
      <c r="I71" s="19">
        <v>0</v>
      </c>
      <c r="J71" s="19"/>
      <c r="K71" s="19">
        <v>0</v>
      </c>
      <c r="L71" s="19"/>
      <c r="M71" s="19">
        <v>0</v>
      </c>
      <c r="N71" s="19"/>
      <c r="O71" s="19">
        <v>0</v>
      </c>
      <c r="P71" s="19"/>
      <c r="Q71" s="19">
        <v>0</v>
      </c>
      <c r="R71" s="19"/>
      <c r="S71" s="19">
        <v>0</v>
      </c>
      <c r="T71" s="19"/>
      <c r="U71" s="19">
        <v>0</v>
      </c>
      <c r="V71" s="19"/>
      <c r="W71" s="19">
        <v>0</v>
      </c>
      <c r="X71" s="19"/>
      <c r="Y71" s="19">
        <v>0</v>
      </c>
      <c r="Z71" s="19"/>
      <c r="AA71" s="19">
        <v>0</v>
      </c>
      <c r="AB71" s="19"/>
      <c r="AC71" s="19">
        <v>0</v>
      </c>
      <c r="AD71" s="19"/>
      <c r="AE71" s="19">
        <v>0</v>
      </c>
      <c r="AF71" s="19"/>
      <c r="AG71" s="19">
        <f t="shared" si="1"/>
        <v>0</v>
      </c>
    </row>
    <row r="72" spans="1:34" ht="12" customHeight="1">
      <c r="A72" s="3" t="s">
        <v>417</v>
      </c>
      <c r="B72" s="3"/>
      <c r="C72" s="3" t="s">
        <v>73</v>
      </c>
      <c r="D72" s="3"/>
      <c r="E72" s="3">
        <v>728110.55</v>
      </c>
      <c r="F72" s="3"/>
      <c r="G72" s="3">
        <v>21815.14</v>
      </c>
      <c r="H72" s="3"/>
      <c r="I72" s="3">
        <v>475</v>
      </c>
      <c r="J72" s="3"/>
      <c r="K72" s="3">
        <v>0</v>
      </c>
      <c r="L72" s="3"/>
      <c r="M72" s="3">
        <v>-705820.41</v>
      </c>
      <c r="N72" s="3"/>
      <c r="O72" s="3">
        <v>0</v>
      </c>
      <c r="P72" s="3"/>
      <c r="Q72" s="3">
        <v>640893.88</v>
      </c>
      <c r="R72" s="3"/>
      <c r="S72" s="3">
        <v>26358.59</v>
      </c>
      <c r="T72" s="3"/>
      <c r="U72" s="3">
        <v>0</v>
      </c>
      <c r="V72" s="3"/>
      <c r="W72" s="3">
        <v>0</v>
      </c>
      <c r="X72" s="3"/>
      <c r="Y72" s="3">
        <v>0</v>
      </c>
      <c r="Z72" s="3"/>
      <c r="AA72" s="3">
        <v>0</v>
      </c>
      <c r="AB72" s="3"/>
      <c r="AC72" s="3">
        <v>-38567.94</v>
      </c>
      <c r="AD72" s="3"/>
      <c r="AE72" s="3">
        <v>523981.83</v>
      </c>
      <c r="AF72" s="3"/>
      <c r="AG72" s="19">
        <f t="shared" si="1"/>
        <v>485413.89</v>
      </c>
      <c r="AH72" s="3"/>
    </row>
    <row r="73" spans="1:34" ht="12" customHeight="1">
      <c r="A73" s="3" t="s">
        <v>418</v>
      </c>
      <c r="B73" s="3"/>
      <c r="C73" s="3" t="s">
        <v>55</v>
      </c>
      <c r="D73" s="3"/>
      <c r="E73" s="3">
        <v>533490.3</v>
      </c>
      <c r="F73" s="3"/>
      <c r="G73" s="3">
        <v>13572.32</v>
      </c>
      <c r="H73" s="3"/>
      <c r="I73" s="3">
        <v>0</v>
      </c>
      <c r="J73" s="3"/>
      <c r="K73" s="3">
        <v>0</v>
      </c>
      <c r="L73" s="3"/>
      <c r="M73" s="3">
        <v>-519917.98</v>
      </c>
      <c r="N73" s="3"/>
      <c r="O73" s="3">
        <v>0</v>
      </c>
      <c r="P73" s="3"/>
      <c r="Q73" s="3">
        <v>544829.18</v>
      </c>
      <c r="R73" s="3"/>
      <c r="S73" s="3">
        <v>131013.12</v>
      </c>
      <c r="T73" s="3"/>
      <c r="U73" s="3">
        <v>1491.75</v>
      </c>
      <c r="V73" s="3"/>
      <c r="W73" s="3">
        <v>0</v>
      </c>
      <c r="X73" s="3"/>
      <c r="Y73" s="3">
        <v>0</v>
      </c>
      <c r="Z73" s="3"/>
      <c r="AA73" s="3">
        <v>0</v>
      </c>
      <c r="AB73" s="3"/>
      <c r="AC73" s="3">
        <v>157416.07</v>
      </c>
      <c r="AD73" s="3"/>
      <c r="AE73" s="3">
        <v>2556667.28</v>
      </c>
      <c r="AF73" s="3"/>
      <c r="AG73" s="19">
        <f t="shared" si="1"/>
        <v>2714083.3499999996</v>
      </c>
      <c r="AH73" s="3"/>
    </row>
    <row r="74" spans="1:33" ht="12" customHeight="1" hidden="1">
      <c r="A74" s="13" t="s">
        <v>436</v>
      </c>
      <c r="B74" s="16"/>
      <c r="C74" s="16" t="s">
        <v>68</v>
      </c>
      <c r="D74" s="16"/>
      <c r="E74" s="19">
        <v>0</v>
      </c>
      <c r="F74" s="19"/>
      <c r="G74" s="19">
        <v>0</v>
      </c>
      <c r="H74" s="19"/>
      <c r="I74" s="19">
        <v>0</v>
      </c>
      <c r="J74" s="19"/>
      <c r="K74" s="19">
        <v>0</v>
      </c>
      <c r="L74" s="19"/>
      <c r="M74" s="19">
        <v>0</v>
      </c>
      <c r="N74" s="19"/>
      <c r="O74" s="19">
        <v>0</v>
      </c>
      <c r="P74" s="19"/>
      <c r="Q74" s="19">
        <v>0</v>
      </c>
      <c r="R74" s="19"/>
      <c r="S74" s="19">
        <v>0</v>
      </c>
      <c r="T74" s="19"/>
      <c r="U74" s="19">
        <v>0</v>
      </c>
      <c r="V74" s="19"/>
      <c r="W74" s="19">
        <v>0</v>
      </c>
      <c r="X74" s="19"/>
      <c r="Y74" s="19">
        <v>0</v>
      </c>
      <c r="Z74" s="19"/>
      <c r="AA74" s="19">
        <v>0</v>
      </c>
      <c r="AB74" s="19"/>
      <c r="AC74" s="19">
        <v>0</v>
      </c>
      <c r="AD74" s="19"/>
      <c r="AE74" s="19">
        <v>0</v>
      </c>
      <c r="AF74" s="19"/>
      <c r="AG74" s="19">
        <f t="shared" si="1"/>
        <v>0</v>
      </c>
    </row>
    <row r="75" spans="1:33" ht="12" customHeight="1">
      <c r="A75" s="31" t="s">
        <v>133</v>
      </c>
      <c r="B75" s="16"/>
      <c r="C75" s="16" t="s">
        <v>20</v>
      </c>
      <c r="D75" s="16"/>
      <c r="E75" s="19">
        <v>27461172</v>
      </c>
      <c r="F75" s="19"/>
      <c r="G75" s="19">
        <v>821304</v>
      </c>
      <c r="H75" s="19"/>
      <c r="I75" s="19">
        <v>1088522</v>
      </c>
      <c r="J75" s="19"/>
      <c r="K75" s="19">
        <v>0</v>
      </c>
      <c r="L75" s="19"/>
      <c r="M75" s="19">
        <v>-60786982</v>
      </c>
      <c r="N75" s="19"/>
      <c r="O75" s="19">
        <v>32821754</v>
      </c>
      <c r="P75" s="19"/>
      <c r="Q75" s="19">
        <f>29720243</f>
        <v>29720243</v>
      </c>
      <c r="R75" s="19"/>
      <c r="S75" s="19">
        <v>1597148</v>
      </c>
      <c r="T75" s="19"/>
      <c r="U75" s="19">
        <f>10040+608543</f>
        <v>618583</v>
      </c>
      <c r="V75" s="19"/>
      <c r="W75" s="19">
        <v>0</v>
      </c>
      <c r="X75" s="19"/>
      <c r="Y75" s="19">
        <v>0</v>
      </c>
      <c r="Z75" s="19"/>
      <c r="AA75" s="19">
        <v>0</v>
      </c>
      <c r="AB75" s="19"/>
      <c r="AC75" s="19">
        <v>3970746</v>
      </c>
      <c r="AD75" s="19"/>
      <c r="AE75" s="19">
        <v>23490426</v>
      </c>
      <c r="AF75" s="19"/>
      <c r="AG75" s="19">
        <f t="shared" si="1"/>
        <v>27461172</v>
      </c>
    </row>
    <row r="76" spans="1:33" ht="12" customHeight="1" hidden="1">
      <c r="A76" s="16" t="s">
        <v>251</v>
      </c>
      <c r="B76" s="16"/>
      <c r="C76" s="16" t="s">
        <v>60</v>
      </c>
      <c r="D76" s="16"/>
      <c r="E76" s="19">
        <v>0</v>
      </c>
      <c r="F76" s="19"/>
      <c r="G76" s="19">
        <v>0</v>
      </c>
      <c r="H76" s="19"/>
      <c r="I76" s="19">
        <v>0</v>
      </c>
      <c r="J76" s="19"/>
      <c r="K76" s="19">
        <v>0</v>
      </c>
      <c r="L76" s="19"/>
      <c r="M76" s="19">
        <v>0</v>
      </c>
      <c r="N76" s="19"/>
      <c r="O76" s="19">
        <v>0</v>
      </c>
      <c r="P76" s="19"/>
      <c r="Q76" s="19">
        <v>0</v>
      </c>
      <c r="R76" s="19"/>
      <c r="S76" s="19">
        <v>0</v>
      </c>
      <c r="T76" s="19"/>
      <c r="U76" s="19">
        <v>0</v>
      </c>
      <c r="V76" s="19"/>
      <c r="W76" s="19">
        <v>0</v>
      </c>
      <c r="X76" s="19"/>
      <c r="Y76" s="19">
        <v>0</v>
      </c>
      <c r="Z76" s="19"/>
      <c r="AA76" s="19">
        <v>0</v>
      </c>
      <c r="AB76" s="19"/>
      <c r="AC76" s="19">
        <v>0</v>
      </c>
      <c r="AD76" s="19"/>
      <c r="AE76" s="19">
        <v>0</v>
      </c>
      <c r="AF76" s="19"/>
      <c r="AG76" s="19">
        <f t="shared" si="1"/>
        <v>0</v>
      </c>
    </row>
    <row r="77" spans="1:33" ht="12" customHeight="1" hidden="1">
      <c r="A77" s="13" t="s">
        <v>437</v>
      </c>
      <c r="B77" s="16"/>
      <c r="C77" s="16" t="s">
        <v>23</v>
      </c>
      <c r="D77" s="16"/>
      <c r="E77" s="19">
        <v>0</v>
      </c>
      <c r="F77" s="19"/>
      <c r="G77" s="19">
        <v>0</v>
      </c>
      <c r="H77" s="19"/>
      <c r="I77" s="19">
        <v>0</v>
      </c>
      <c r="J77" s="19"/>
      <c r="K77" s="19">
        <v>0</v>
      </c>
      <c r="L77" s="19"/>
      <c r="M77" s="19">
        <v>0</v>
      </c>
      <c r="N77" s="19"/>
      <c r="O77" s="19">
        <v>0</v>
      </c>
      <c r="P77" s="19"/>
      <c r="Q77" s="19">
        <v>0</v>
      </c>
      <c r="R77" s="19"/>
      <c r="S77" s="19">
        <v>0</v>
      </c>
      <c r="T77" s="19"/>
      <c r="U77" s="19">
        <v>0</v>
      </c>
      <c r="V77" s="19"/>
      <c r="W77" s="19">
        <v>0</v>
      </c>
      <c r="X77" s="19"/>
      <c r="Y77" s="19">
        <v>0</v>
      </c>
      <c r="Z77" s="19"/>
      <c r="AA77" s="19">
        <v>0</v>
      </c>
      <c r="AB77" s="19"/>
      <c r="AC77" s="19">
        <v>0</v>
      </c>
      <c r="AD77" s="19"/>
      <c r="AE77" s="19">
        <v>0</v>
      </c>
      <c r="AF77" s="19"/>
      <c r="AG77" s="19">
        <f t="shared" si="1"/>
        <v>0</v>
      </c>
    </row>
    <row r="78" spans="1:33" ht="12" customHeight="1" hidden="1">
      <c r="A78" s="13" t="s">
        <v>438</v>
      </c>
      <c r="B78" s="16"/>
      <c r="C78" s="16" t="s">
        <v>69</v>
      </c>
      <c r="D78" s="16"/>
      <c r="E78" s="19">
        <v>0</v>
      </c>
      <c r="F78" s="19"/>
      <c r="G78" s="19">
        <v>0</v>
      </c>
      <c r="H78" s="19"/>
      <c r="I78" s="19">
        <v>0</v>
      </c>
      <c r="J78" s="19"/>
      <c r="K78" s="19">
        <v>0</v>
      </c>
      <c r="L78" s="19"/>
      <c r="M78" s="19">
        <v>0</v>
      </c>
      <c r="N78" s="19"/>
      <c r="O78" s="19">
        <v>0</v>
      </c>
      <c r="P78" s="19"/>
      <c r="Q78" s="19">
        <v>0</v>
      </c>
      <c r="R78" s="19"/>
      <c r="S78" s="19">
        <v>0</v>
      </c>
      <c r="T78" s="19"/>
      <c r="U78" s="19">
        <v>0</v>
      </c>
      <c r="V78" s="19"/>
      <c r="W78" s="19">
        <v>0</v>
      </c>
      <c r="X78" s="19"/>
      <c r="Y78" s="19">
        <v>0</v>
      </c>
      <c r="Z78" s="19"/>
      <c r="AA78" s="19">
        <v>0</v>
      </c>
      <c r="AB78" s="19"/>
      <c r="AC78" s="19">
        <v>0</v>
      </c>
      <c r="AD78" s="19"/>
      <c r="AE78" s="19">
        <v>0</v>
      </c>
      <c r="AF78" s="19"/>
      <c r="AG78" s="19">
        <f t="shared" si="1"/>
        <v>0</v>
      </c>
    </row>
    <row r="79" spans="1:33" ht="12" customHeight="1">
      <c r="A79" s="31" t="s">
        <v>134</v>
      </c>
      <c r="B79" s="31"/>
      <c r="C79" s="31" t="s">
        <v>58</v>
      </c>
      <c r="D79" s="16"/>
      <c r="E79" s="19">
        <v>20759420</v>
      </c>
      <c r="F79" s="19"/>
      <c r="G79" s="19">
        <v>650772</v>
      </c>
      <c r="H79" s="19"/>
      <c r="I79" s="19">
        <v>66136</v>
      </c>
      <c r="J79" s="19"/>
      <c r="K79" s="19">
        <v>0</v>
      </c>
      <c r="L79" s="19"/>
      <c r="M79" s="19">
        <v>-27183715</v>
      </c>
      <c r="N79" s="19"/>
      <c r="O79" s="19">
        <v>8950282</v>
      </c>
      <c r="P79" s="19"/>
      <c r="Q79" s="19">
        <v>20471725</v>
      </c>
      <c r="R79" s="19"/>
      <c r="S79" s="19">
        <v>1088518</v>
      </c>
      <c r="T79" s="19"/>
      <c r="U79" s="19">
        <f>143223+52607</f>
        <v>195830</v>
      </c>
      <c r="V79" s="19"/>
      <c r="W79" s="19">
        <v>0</v>
      </c>
      <c r="X79" s="19"/>
      <c r="Y79" s="19">
        <v>0</v>
      </c>
      <c r="Z79" s="19"/>
      <c r="AA79" s="19">
        <v>4484</v>
      </c>
      <c r="AB79" s="19"/>
      <c r="AC79" s="19">
        <v>3527124</v>
      </c>
      <c r="AD79" s="19"/>
      <c r="AE79" s="19">
        <v>17232296</v>
      </c>
      <c r="AF79" s="19"/>
      <c r="AG79" s="19">
        <f t="shared" si="1"/>
        <v>20759420</v>
      </c>
    </row>
    <row r="80" spans="1:33" ht="12" customHeight="1" hidden="1">
      <c r="A80" s="13" t="s">
        <v>439</v>
      </c>
      <c r="B80" s="16"/>
      <c r="C80" s="16" t="s">
        <v>13</v>
      </c>
      <c r="D80" s="16"/>
      <c r="E80" s="19">
        <v>0</v>
      </c>
      <c r="F80" s="19"/>
      <c r="G80" s="19">
        <v>0</v>
      </c>
      <c r="H80" s="19"/>
      <c r="I80" s="19">
        <v>0</v>
      </c>
      <c r="J80" s="19"/>
      <c r="K80" s="19">
        <v>0</v>
      </c>
      <c r="L80" s="19"/>
      <c r="M80" s="19">
        <v>0</v>
      </c>
      <c r="N80" s="19"/>
      <c r="O80" s="19">
        <v>0</v>
      </c>
      <c r="P80" s="19"/>
      <c r="Q80" s="19">
        <v>0</v>
      </c>
      <c r="R80" s="19"/>
      <c r="S80" s="19">
        <v>0</v>
      </c>
      <c r="T80" s="19"/>
      <c r="U80" s="19">
        <v>0</v>
      </c>
      <c r="V80" s="19"/>
      <c r="W80" s="19">
        <v>0</v>
      </c>
      <c r="X80" s="19"/>
      <c r="Y80" s="19">
        <v>0</v>
      </c>
      <c r="Z80" s="19"/>
      <c r="AA80" s="19">
        <v>0</v>
      </c>
      <c r="AB80" s="19"/>
      <c r="AC80" s="19">
        <v>0</v>
      </c>
      <c r="AD80" s="19"/>
      <c r="AE80" s="19">
        <v>0</v>
      </c>
      <c r="AF80" s="19"/>
      <c r="AG80" s="19">
        <f t="shared" si="1"/>
        <v>0</v>
      </c>
    </row>
    <row r="81" spans="1:33" ht="12.75" customHeight="1">
      <c r="A81" s="31" t="s">
        <v>137</v>
      </c>
      <c r="B81" s="31"/>
      <c r="C81" s="31" t="s">
        <v>73</v>
      </c>
      <c r="D81" s="16"/>
      <c r="E81" s="19">
        <v>2226894</v>
      </c>
      <c r="F81" s="19"/>
      <c r="G81" s="19">
        <v>56758</v>
      </c>
      <c r="H81" s="19"/>
      <c r="I81" s="19">
        <v>34058</v>
      </c>
      <c r="J81" s="19"/>
      <c r="K81" s="19">
        <v>0</v>
      </c>
      <c r="L81" s="19"/>
      <c r="M81" s="19">
        <v>-2662977</v>
      </c>
      <c r="N81" s="19"/>
      <c r="O81" s="19">
        <v>303810</v>
      </c>
      <c r="P81" s="19"/>
      <c r="Q81" s="19">
        <f>2061025+34124</f>
        <v>2095149</v>
      </c>
      <c r="R81" s="19"/>
      <c r="S81" s="19">
        <v>135269</v>
      </c>
      <c r="T81" s="19"/>
      <c r="U81" s="19">
        <v>9310</v>
      </c>
      <c r="V81" s="19"/>
      <c r="W81" s="19">
        <v>0</v>
      </c>
      <c r="X81" s="19"/>
      <c r="Y81" s="19">
        <v>0</v>
      </c>
      <c r="Z81" s="19"/>
      <c r="AA81" s="19">
        <v>0</v>
      </c>
      <c r="AB81" s="19"/>
      <c r="AC81" s="19">
        <v>-119439</v>
      </c>
      <c r="AD81" s="19"/>
      <c r="AE81" s="19">
        <v>2346333</v>
      </c>
      <c r="AF81" s="19"/>
      <c r="AG81" s="19">
        <f t="shared" si="1"/>
        <v>2226894</v>
      </c>
    </row>
    <row r="82" spans="1:33" ht="12" customHeight="1" hidden="1">
      <c r="A82" s="13" t="s">
        <v>442</v>
      </c>
      <c r="B82" s="16"/>
      <c r="C82" s="16" t="s">
        <v>49</v>
      </c>
      <c r="D82" s="16"/>
      <c r="E82" s="19">
        <v>0</v>
      </c>
      <c r="F82" s="19"/>
      <c r="G82" s="19">
        <v>0</v>
      </c>
      <c r="H82" s="19"/>
      <c r="I82" s="19">
        <v>0</v>
      </c>
      <c r="J82" s="19"/>
      <c r="K82" s="19">
        <v>0</v>
      </c>
      <c r="L82" s="19"/>
      <c r="M82" s="19">
        <v>0</v>
      </c>
      <c r="N82" s="19"/>
      <c r="O82" s="19">
        <v>0</v>
      </c>
      <c r="P82" s="19"/>
      <c r="Q82" s="19">
        <v>0</v>
      </c>
      <c r="R82" s="19"/>
      <c r="S82" s="19">
        <v>0</v>
      </c>
      <c r="T82" s="19"/>
      <c r="U82" s="19">
        <v>0</v>
      </c>
      <c r="V82" s="19"/>
      <c r="W82" s="19">
        <v>0</v>
      </c>
      <c r="X82" s="19"/>
      <c r="Y82" s="19">
        <v>0</v>
      </c>
      <c r="Z82" s="19"/>
      <c r="AA82" s="19">
        <v>0</v>
      </c>
      <c r="AB82" s="19"/>
      <c r="AC82" s="19">
        <v>0</v>
      </c>
      <c r="AD82" s="19"/>
      <c r="AE82" s="19">
        <v>0</v>
      </c>
      <c r="AF82" s="19"/>
      <c r="AG82" s="19">
        <f aca="true" t="shared" si="2" ref="AG82:AG113">AE82+AC82</f>
        <v>0</v>
      </c>
    </row>
    <row r="83" spans="1:33" ht="12" customHeight="1" hidden="1">
      <c r="A83" s="13" t="s">
        <v>443</v>
      </c>
      <c r="B83" s="16"/>
      <c r="C83" s="16" t="s">
        <v>64</v>
      </c>
      <c r="D83" s="16"/>
      <c r="E83" s="19">
        <v>0</v>
      </c>
      <c r="F83" s="19"/>
      <c r="G83" s="19">
        <v>0</v>
      </c>
      <c r="H83" s="19"/>
      <c r="I83" s="19">
        <v>0</v>
      </c>
      <c r="J83" s="19"/>
      <c r="K83" s="19">
        <v>0</v>
      </c>
      <c r="L83" s="19"/>
      <c r="M83" s="19">
        <v>0</v>
      </c>
      <c r="N83" s="19"/>
      <c r="O83" s="19">
        <v>0</v>
      </c>
      <c r="P83" s="19"/>
      <c r="Q83" s="19">
        <v>0</v>
      </c>
      <c r="R83" s="19"/>
      <c r="S83" s="19">
        <v>0</v>
      </c>
      <c r="T83" s="19"/>
      <c r="U83" s="19">
        <v>0</v>
      </c>
      <c r="V83" s="19"/>
      <c r="W83" s="19">
        <v>0</v>
      </c>
      <c r="X83" s="19"/>
      <c r="Y83" s="19">
        <v>0</v>
      </c>
      <c r="Z83" s="19"/>
      <c r="AA83" s="19">
        <v>0</v>
      </c>
      <c r="AB83" s="19"/>
      <c r="AC83" s="19">
        <v>0</v>
      </c>
      <c r="AD83" s="19"/>
      <c r="AE83" s="19">
        <v>0</v>
      </c>
      <c r="AF83" s="19"/>
      <c r="AG83" s="19">
        <f t="shared" si="2"/>
        <v>0</v>
      </c>
    </row>
    <row r="84" spans="1:33" ht="12" customHeight="1" hidden="1">
      <c r="A84" s="16" t="s">
        <v>276</v>
      </c>
      <c r="B84" s="16"/>
      <c r="C84" s="16" t="s">
        <v>182</v>
      </c>
      <c r="D84" s="16"/>
      <c r="E84" s="19">
        <v>0</v>
      </c>
      <c r="F84" s="19"/>
      <c r="G84" s="19">
        <v>0</v>
      </c>
      <c r="H84" s="19"/>
      <c r="I84" s="19">
        <v>0</v>
      </c>
      <c r="J84" s="19"/>
      <c r="K84" s="19">
        <v>0</v>
      </c>
      <c r="L84" s="19"/>
      <c r="M84" s="19">
        <v>0</v>
      </c>
      <c r="N84" s="19"/>
      <c r="O84" s="19">
        <v>0</v>
      </c>
      <c r="P84" s="19"/>
      <c r="Q84" s="19">
        <v>0</v>
      </c>
      <c r="R84" s="19"/>
      <c r="S84" s="19">
        <v>0</v>
      </c>
      <c r="T84" s="19"/>
      <c r="U84" s="19">
        <v>0</v>
      </c>
      <c r="V84" s="19"/>
      <c r="W84" s="19">
        <v>0</v>
      </c>
      <c r="X84" s="19"/>
      <c r="Y84" s="19">
        <v>0</v>
      </c>
      <c r="Z84" s="19"/>
      <c r="AA84" s="19">
        <v>0</v>
      </c>
      <c r="AB84" s="19"/>
      <c r="AC84" s="19">
        <v>0</v>
      </c>
      <c r="AD84" s="19"/>
      <c r="AE84" s="19">
        <v>0</v>
      </c>
      <c r="AF84" s="19"/>
      <c r="AG84" s="19">
        <f t="shared" si="2"/>
        <v>0</v>
      </c>
    </row>
    <row r="85" spans="1:33" ht="12" customHeight="1" hidden="1">
      <c r="A85" s="13" t="s">
        <v>444</v>
      </c>
      <c r="B85" s="16"/>
      <c r="C85" s="16" t="s">
        <v>46</v>
      </c>
      <c r="D85" s="16"/>
      <c r="E85" s="19">
        <v>0</v>
      </c>
      <c r="F85" s="19"/>
      <c r="G85" s="19">
        <v>0</v>
      </c>
      <c r="H85" s="19"/>
      <c r="I85" s="19">
        <v>0</v>
      </c>
      <c r="J85" s="19"/>
      <c r="K85" s="19">
        <v>0</v>
      </c>
      <c r="L85" s="19"/>
      <c r="M85" s="19">
        <v>0</v>
      </c>
      <c r="N85" s="19"/>
      <c r="O85" s="19">
        <v>0</v>
      </c>
      <c r="P85" s="19"/>
      <c r="Q85" s="19">
        <v>0</v>
      </c>
      <c r="R85" s="19"/>
      <c r="S85" s="19">
        <v>0</v>
      </c>
      <c r="T85" s="19"/>
      <c r="U85" s="19">
        <v>0</v>
      </c>
      <c r="V85" s="19"/>
      <c r="W85" s="19">
        <v>0</v>
      </c>
      <c r="X85" s="19"/>
      <c r="Y85" s="19">
        <v>0</v>
      </c>
      <c r="Z85" s="19"/>
      <c r="AA85" s="19">
        <v>0</v>
      </c>
      <c r="AB85" s="19"/>
      <c r="AC85" s="19">
        <v>0</v>
      </c>
      <c r="AD85" s="19"/>
      <c r="AE85" s="19">
        <v>0</v>
      </c>
      <c r="AF85" s="19"/>
      <c r="AG85" s="19">
        <f t="shared" si="2"/>
        <v>0</v>
      </c>
    </row>
    <row r="86" spans="1:33" ht="12" customHeight="1" hidden="1">
      <c r="A86" s="13" t="s">
        <v>445</v>
      </c>
      <c r="B86" s="16"/>
      <c r="C86" s="16" t="s">
        <v>53</v>
      </c>
      <c r="D86" s="16"/>
      <c r="E86" s="19">
        <v>0</v>
      </c>
      <c r="F86" s="19"/>
      <c r="G86" s="19">
        <v>0</v>
      </c>
      <c r="H86" s="19"/>
      <c r="I86" s="19">
        <v>0</v>
      </c>
      <c r="J86" s="19"/>
      <c r="K86" s="19">
        <v>0</v>
      </c>
      <c r="L86" s="19"/>
      <c r="M86" s="19">
        <v>0</v>
      </c>
      <c r="N86" s="19"/>
      <c r="O86" s="19">
        <v>0</v>
      </c>
      <c r="P86" s="19"/>
      <c r="Q86" s="19">
        <v>0</v>
      </c>
      <c r="R86" s="19"/>
      <c r="S86" s="19">
        <v>0</v>
      </c>
      <c r="T86" s="19"/>
      <c r="U86" s="19">
        <v>0</v>
      </c>
      <c r="V86" s="19"/>
      <c r="W86" s="19">
        <v>0</v>
      </c>
      <c r="X86" s="19"/>
      <c r="Y86" s="19">
        <v>0</v>
      </c>
      <c r="Z86" s="19"/>
      <c r="AA86" s="19">
        <v>0</v>
      </c>
      <c r="AB86" s="19"/>
      <c r="AC86" s="19">
        <v>0</v>
      </c>
      <c r="AD86" s="19"/>
      <c r="AE86" s="19">
        <v>0</v>
      </c>
      <c r="AF86" s="19"/>
      <c r="AG86" s="19">
        <f t="shared" si="2"/>
        <v>0</v>
      </c>
    </row>
    <row r="87" spans="1:33" ht="12" customHeight="1" hidden="1">
      <c r="A87" s="13" t="s">
        <v>446</v>
      </c>
      <c r="B87" s="16"/>
      <c r="C87" s="16" t="s">
        <v>65</v>
      </c>
      <c r="D87" s="16"/>
      <c r="E87" s="19">
        <v>0</v>
      </c>
      <c r="F87" s="19"/>
      <c r="G87" s="19">
        <v>0</v>
      </c>
      <c r="H87" s="19"/>
      <c r="I87" s="19">
        <v>0</v>
      </c>
      <c r="J87" s="19"/>
      <c r="K87" s="19">
        <v>0</v>
      </c>
      <c r="L87" s="19"/>
      <c r="M87" s="19">
        <v>0</v>
      </c>
      <c r="N87" s="19"/>
      <c r="O87" s="19">
        <v>0</v>
      </c>
      <c r="P87" s="19"/>
      <c r="Q87" s="19">
        <v>0</v>
      </c>
      <c r="R87" s="19"/>
      <c r="S87" s="19">
        <v>0</v>
      </c>
      <c r="T87" s="19"/>
      <c r="U87" s="19">
        <v>0</v>
      </c>
      <c r="V87" s="19"/>
      <c r="W87" s="19">
        <v>0</v>
      </c>
      <c r="X87" s="19"/>
      <c r="Y87" s="19">
        <v>0</v>
      </c>
      <c r="Z87" s="19"/>
      <c r="AA87" s="19">
        <v>0</v>
      </c>
      <c r="AB87" s="19"/>
      <c r="AC87" s="19">
        <v>0</v>
      </c>
      <c r="AD87" s="19"/>
      <c r="AE87" s="19">
        <v>0</v>
      </c>
      <c r="AF87" s="19"/>
      <c r="AG87" s="19">
        <f t="shared" si="2"/>
        <v>0</v>
      </c>
    </row>
    <row r="88" spans="1:33" ht="12" customHeight="1" hidden="1">
      <c r="A88" s="13" t="s">
        <v>447</v>
      </c>
      <c r="B88" s="16"/>
      <c r="C88" s="16" t="s">
        <v>71</v>
      </c>
      <c r="D88" s="16"/>
      <c r="E88" s="19">
        <v>0</v>
      </c>
      <c r="F88" s="19"/>
      <c r="G88" s="19">
        <v>0</v>
      </c>
      <c r="H88" s="19"/>
      <c r="I88" s="19">
        <v>0</v>
      </c>
      <c r="J88" s="19"/>
      <c r="K88" s="19">
        <v>0</v>
      </c>
      <c r="L88" s="19"/>
      <c r="M88" s="19">
        <v>0</v>
      </c>
      <c r="N88" s="19"/>
      <c r="O88" s="19">
        <v>0</v>
      </c>
      <c r="P88" s="19"/>
      <c r="Q88" s="19">
        <v>0</v>
      </c>
      <c r="R88" s="19"/>
      <c r="S88" s="19">
        <v>0</v>
      </c>
      <c r="T88" s="19"/>
      <c r="U88" s="19">
        <v>0</v>
      </c>
      <c r="V88" s="19"/>
      <c r="W88" s="19">
        <v>0</v>
      </c>
      <c r="X88" s="19"/>
      <c r="Y88" s="19">
        <v>0</v>
      </c>
      <c r="Z88" s="19"/>
      <c r="AA88" s="19">
        <v>0</v>
      </c>
      <c r="AB88" s="19"/>
      <c r="AC88" s="19">
        <v>0</v>
      </c>
      <c r="AD88" s="19"/>
      <c r="AE88" s="19">
        <v>0</v>
      </c>
      <c r="AF88" s="19"/>
      <c r="AG88" s="19">
        <f t="shared" si="2"/>
        <v>0</v>
      </c>
    </row>
    <row r="89" spans="1:33" ht="12" customHeight="1" hidden="1">
      <c r="A89" s="13" t="s">
        <v>448</v>
      </c>
      <c r="B89" s="16"/>
      <c r="C89" s="16" t="s">
        <v>48</v>
      </c>
      <c r="D89" s="16"/>
      <c r="E89" s="19">
        <v>0</v>
      </c>
      <c r="F89" s="19"/>
      <c r="G89" s="19">
        <v>0</v>
      </c>
      <c r="H89" s="19"/>
      <c r="I89" s="19">
        <v>0</v>
      </c>
      <c r="J89" s="19"/>
      <c r="K89" s="19">
        <v>0</v>
      </c>
      <c r="L89" s="19"/>
      <c r="M89" s="19">
        <v>0</v>
      </c>
      <c r="N89" s="19"/>
      <c r="O89" s="19">
        <v>0</v>
      </c>
      <c r="P89" s="19"/>
      <c r="Q89" s="19">
        <v>0</v>
      </c>
      <c r="R89" s="19"/>
      <c r="S89" s="19">
        <v>0</v>
      </c>
      <c r="T89" s="19"/>
      <c r="U89" s="19">
        <v>0</v>
      </c>
      <c r="V89" s="19"/>
      <c r="W89" s="19">
        <v>0</v>
      </c>
      <c r="X89" s="19"/>
      <c r="Y89" s="19">
        <v>0</v>
      </c>
      <c r="Z89" s="19"/>
      <c r="AA89" s="19">
        <v>0</v>
      </c>
      <c r="AB89" s="19"/>
      <c r="AC89" s="19">
        <v>0</v>
      </c>
      <c r="AD89" s="19"/>
      <c r="AE89" s="19">
        <v>0</v>
      </c>
      <c r="AF89" s="19"/>
      <c r="AG89" s="19">
        <f t="shared" si="2"/>
        <v>0</v>
      </c>
    </row>
    <row r="90" spans="1:34" ht="12" customHeight="1">
      <c r="A90" s="3" t="s">
        <v>613</v>
      </c>
      <c r="B90" s="3"/>
      <c r="C90" s="3" t="s">
        <v>20</v>
      </c>
      <c r="D90" s="3"/>
      <c r="E90" s="3">
        <v>3074921.42</v>
      </c>
      <c r="F90" s="3"/>
      <c r="G90" s="3">
        <v>5298.06</v>
      </c>
      <c r="H90" s="3"/>
      <c r="I90" s="3">
        <v>12640</v>
      </c>
      <c r="J90" s="3"/>
      <c r="K90" s="3">
        <v>0</v>
      </c>
      <c r="L90" s="3"/>
      <c r="M90" s="3">
        <v>-3056983.36</v>
      </c>
      <c r="N90" s="3"/>
      <c r="O90" s="3">
        <v>1006392.57</v>
      </c>
      <c r="P90" s="3"/>
      <c r="Q90" s="3">
        <v>1616682.06</v>
      </c>
      <c r="R90" s="3"/>
      <c r="S90" s="3">
        <v>37815.3</v>
      </c>
      <c r="T90" s="3"/>
      <c r="U90" s="3">
        <v>19898.03</v>
      </c>
      <c r="V90" s="3"/>
      <c r="W90" s="3">
        <v>0</v>
      </c>
      <c r="X90" s="3"/>
      <c r="Y90" s="3">
        <v>0</v>
      </c>
      <c r="Z90" s="3"/>
      <c r="AA90" s="3">
        <v>0</v>
      </c>
      <c r="AB90" s="3"/>
      <c r="AC90" s="3">
        <v>-376195.4</v>
      </c>
      <c r="AD90" s="3"/>
      <c r="AE90" s="3">
        <v>599482.49</v>
      </c>
      <c r="AF90" s="3"/>
      <c r="AG90" s="19">
        <f t="shared" si="2"/>
        <v>223287.08999999997</v>
      </c>
      <c r="AH90" s="3"/>
    </row>
    <row r="91" spans="1:33" ht="12" customHeight="1" hidden="1">
      <c r="A91" s="13" t="s">
        <v>449</v>
      </c>
      <c r="B91" s="16"/>
      <c r="C91" s="16" t="s">
        <v>47</v>
      </c>
      <c r="D91" s="16"/>
      <c r="E91" s="19">
        <v>0</v>
      </c>
      <c r="F91" s="19"/>
      <c r="G91" s="19">
        <v>0</v>
      </c>
      <c r="H91" s="19"/>
      <c r="I91" s="19">
        <v>0</v>
      </c>
      <c r="J91" s="19"/>
      <c r="K91" s="19">
        <v>0</v>
      </c>
      <c r="L91" s="19"/>
      <c r="M91" s="19">
        <v>0</v>
      </c>
      <c r="N91" s="19"/>
      <c r="O91" s="19">
        <v>0</v>
      </c>
      <c r="P91" s="19"/>
      <c r="Q91" s="19">
        <v>0</v>
      </c>
      <c r="R91" s="19"/>
      <c r="S91" s="19">
        <v>0</v>
      </c>
      <c r="T91" s="19"/>
      <c r="U91" s="19">
        <v>0</v>
      </c>
      <c r="V91" s="19"/>
      <c r="W91" s="19">
        <v>0</v>
      </c>
      <c r="X91" s="19"/>
      <c r="Y91" s="19">
        <v>0</v>
      </c>
      <c r="Z91" s="19"/>
      <c r="AA91" s="19">
        <v>0</v>
      </c>
      <c r="AB91" s="19"/>
      <c r="AC91" s="19">
        <v>0</v>
      </c>
      <c r="AD91" s="19"/>
      <c r="AE91" s="19">
        <v>0</v>
      </c>
      <c r="AF91" s="19"/>
      <c r="AG91" s="19">
        <f t="shared" si="2"/>
        <v>0</v>
      </c>
    </row>
    <row r="92" spans="1:33" ht="12" customHeight="1" hidden="1">
      <c r="A92" s="13" t="s">
        <v>450</v>
      </c>
      <c r="B92" s="16"/>
      <c r="C92" s="16" t="s">
        <v>14</v>
      </c>
      <c r="D92" s="16"/>
      <c r="E92" s="19">
        <v>0</v>
      </c>
      <c r="F92" s="19"/>
      <c r="G92" s="19">
        <v>0</v>
      </c>
      <c r="H92" s="19"/>
      <c r="I92" s="19">
        <v>0</v>
      </c>
      <c r="J92" s="19"/>
      <c r="K92" s="19">
        <v>0</v>
      </c>
      <c r="L92" s="19"/>
      <c r="M92" s="19">
        <v>0</v>
      </c>
      <c r="N92" s="19"/>
      <c r="O92" s="19">
        <v>0</v>
      </c>
      <c r="P92" s="19"/>
      <c r="Q92" s="19">
        <v>0</v>
      </c>
      <c r="R92" s="19"/>
      <c r="S92" s="19">
        <v>0</v>
      </c>
      <c r="T92" s="19"/>
      <c r="U92" s="19">
        <v>0</v>
      </c>
      <c r="V92" s="19"/>
      <c r="W92" s="19">
        <v>0</v>
      </c>
      <c r="X92" s="19"/>
      <c r="Y92" s="19">
        <v>0</v>
      </c>
      <c r="Z92" s="19"/>
      <c r="AA92" s="19">
        <v>0</v>
      </c>
      <c r="AB92" s="19"/>
      <c r="AC92" s="19">
        <v>0</v>
      </c>
      <c r="AD92" s="19"/>
      <c r="AE92" s="19">
        <v>0</v>
      </c>
      <c r="AF92" s="19"/>
      <c r="AG92" s="19">
        <f t="shared" si="2"/>
        <v>0</v>
      </c>
    </row>
    <row r="93" spans="1:33" ht="12" customHeight="1">
      <c r="A93" s="31" t="s">
        <v>485</v>
      </c>
      <c r="B93" s="31"/>
      <c r="C93" s="31" t="s">
        <v>21</v>
      </c>
      <c r="D93" s="16"/>
      <c r="E93" s="19">
        <v>2274428</v>
      </c>
      <c r="F93" s="19"/>
      <c r="G93" s="19">
        <v>57648</v>
      </c>
      <c r="H93" s="19"/>
      <c r="I93" s="19">
        <v>7315</v>
      </c>
      <c r="J93" s="19"/>
      <c r="K93" s="19">
        <v>0</v>
      </c>
      <c r="L93" s="19"/>
      <c r="M93" s="19">
        <v>-2450956</v>
      </c>
      <c r="N93" s="19"/>
      <c r="O93" s="19">
        <f>1094311+945064</f>
        <v>2039375</v>
      </c>
      <c r="P93" s="19"/>
      <c r="Q93" s="19">
        <f>122594+642</f>
        <v>123236</v>
      </c>
      <c r="R93" s="19"/>
      <c r="S93" s="19">
        <v>127579</v>
      </c>
      <c r="T93" s="19"/>
      <c r="U93" s="19">
        <v>3801</v>
      </c>
      <c r="V93" s="19"/>
      <c r="W93" s="19">
        <v>0</v>
      </c>
      <c r="X93" s="19"/>
      <c r="Y93" s="19">
        <v>0</v>
      </c>
      <c r="Z93" s="19"/>
      <c r="AA93" s="19">
        <v>0</v>
      </c>
      <c r="AB93" s="19"/>
      <c r="AC93" s="19">
        <v>-156965</v>
      </c>
      <c r="AD93" s="19"/>
      <c r="AE93" s="19">
        <v>2431393</v>
      </c>
      <c r="AF93" s="19"/>
      <c r="AG93" s="19">
        <f t="shared" si="2"/>
        <v>2274428</v>
      </c>
    </row>
    <row r="94" spans="1:33" ht="12" customHeight="1" hidden="1">
      <c r="A94" s="13" t="s">
        <v>451</v>
      </c>
      <c r="B94" s="16"/>
      <c r="C94" s="16" t="s">
        <v>45</v>
      </c>
      <c r="D94" s="16"/>
      <c r="E94" s="19">
        <v>0</v>
      </c>
      <c r="F94" s="19"/>
      <c r="G94" s="19">
        <v>0</v>
      </c>
      <c r="H94" s="19"/>
      <c r="I94" s="19">
        <v>0</v>
      </c>
      <c r="J94" s="19"/>
      <c r="K94" s="19">
        <v>0</v>
      </c>
      <c r="L94" s="19"/>
      <c r="M94" s="19">
        <v>0</v>
      </c>
      <c r="N94" s="19"/>
      <c r="O94" s="19">
        <v>0</v>
      </c>
      <c r="P94" s="19"/>
      <c r="Q94" s="19">
        <v>0</v>
      </c>
      <c r="R94" s="19"/>
      <c r="S94" s="19">
        <v>0</v>
      </c>
      <c r="T94" s="19"/>
      <c r="U94" s="19">
        <v>0</v>
      </c>
      <c r="V94" s="19"/>
      <c r="W94" s="19">
        <v>0</v>
      </c>
      <c r="X94" s="19"/>
      <c r="Y94" s="19">
        <v>0</v>
      </c>
      <c r="Z94" s="19"/>
      <c r="AA94" s="19">
        <v>0</v>
      </c>
      <c r="AB94" s="19"/>
      <c r="AC94" s="19">
        <v>0</v>
      </c>
      <c r="AD94" s="19"/>
      <c r="AE94" s="19">
        <v>0</v>
      </c>
      <c r="AF94" s="19"/>
      <c r="AG94" s="19">
        <f t="shared" si="2"/>
        <v>0</v>
      </c>
    </row>
    <row r="95" spans="1:33" ht="12" customHeight="1">
      <c r="A95" s="31" t="s">
        <v>19</v>
      </c>
      <c r="B95" s="31"/>
      <c r="C95" s="31" t="s">
        <v>20</v>
      </c>
      <c r="D95" s="16"/>
      <c r="E95" s="19">
        <v>5080158</v>
      </c>
      <c r="F95" s="19"/>
      <c r="G95" s="19">
        <v>139550</v>
      </c>
      <c r="H95" s="19"/>
      <c r="I95" s="19">
        <v>0</v>
      </c>
      <c r="J95" s="19"/>
      <c r="K95" s="19">
        <v>0</v>
      </c>
      <c r="L95" s="19"/>
      <c r="M95" s="19">
        <v>-4848156</v>
      </c>
      <c r="N95" s="19"/>
      <c r="O95" s="19">
        <v>2692963</v>
      </c>
      <c r="P95" s="19"/>
      <c r="Q95" s="19">
        <v>2418323</v>
      </c>
      <c r="R95" s="19"/>
      <c r="S95" s="19">
        <v>238948</v>
      </c>
      <c r="T95" s="19"/>
      <c r="U95" s="19">
        <f>7089+1338</f>
        <v>8427</v>
      </c>
      <c r="V95" s="19"/>
      <c r="W95" s="19">
        <v>0</v>
      </c>
      <c r="X95" s="19"/>
      <c r="Y95" s="19">
        <v>0</v>
      </c>
      <c r="Z95" s="19"/>
      <c r="AA95" s="19">
        <v>0</v>
      </c>
      <c r="AB95" s="19"/>
      <c r="AC95" s="19">
        <v>510505</v>
      </c>
      <c r="AD95" s="19"/>
      <c r="AE95" s="19">
        <v>2509712</v>
      </c>
      <c r="AF95" s="19"/>
      <c r="AG95" s="19">
        <f t="shared" si="2"/>
        <v>3020217</v>
      </c>
    </row>
    <row r="96" spans="1:34" ht="12" customHeight="1">
      <c r="A96" s="3" t="s">
        <v>614</v>
      </c>
      <c r="B96" s="3"/>
      <c r="C96" s="3" t="s">
        <v>150</v>
      </c>
      <c r="D96" s="3"/>
      <c r="E96" s="3">
        <v>3367109.54</v>
      </c>
      <c r="F96" s="3"/>
      <c r="G96" s="3">
        <v>73392.62</v>
      </c>
      <c r="H96" s="3"/>
      <c r="I96" s="3">
        <v>0</v>
      </c>
      <c r="J96" s="3"/>
      <c r="K96" s="3">
        <v>0</v>
      </c>
      <c r="L96" s="3"/>
      <c r="M96" s="3">
        <v>-3293716.92</v>
      </c>
      <c r="N96" s="3"/>
      <c r="O96" s="3">
        <v>0</v>
      </c>
      <c r="P96" s="3"/>
      <c r="Q96" s="3">
        <v>2548839.78</v>
      </c>
      <c r="R96" s="3"/>
      <c r="S96" s="3">
        <v>92259.11</v>
      </c>
      <c r="T96" s="3"/>
      <c r="U96" s="3">
        <v>570498.3</v>
      </c>
      <c r="V96" s="3"/>
      <c r="W96" s="3">
        <v>0</v>
      </c>
      <c r="X96" s="3"/>
      <c r="Y96" s="3">
        <v>0</v>
      </c>
      <c r="Z96" s="3"/>
      <c r="AA96" s="3">
        <v>0</v>
      </c>
      <c r="AB96" s="3"/>
      <c r="AC96" s="3">
        <v>-82119.73</v>
      </c>
      <c r="AD96" s="3"/>
      <c r="AE96" s="3">
        <v>2093706.44</v>
      </c>
      <c r="AF96" s="3"/>
      <c r="AG96" s="19">
        <f t="shared" si="2"/>
        <v>2011586.71</v>
      </c>
      <c r="AH96" s="3"/>
    </row>
    <row r="97" spans="1:34" ht="12" customHeight="1">
      <c r="A97" s="3" t="s">
        <v>419</v>
      </c>
      <c r="B97" s="3"/>
      <c r="C97" s="3" t="s">
        <v>56</v>
      </c>
      <c r="D97" s="3"/>
      <c r="E97" s="3">
        <v>941290.99</v>
      </c>
      <c r="F97" s="3"/>
      <c r="G97" s="3">
        <v>16245.39</v>
      </c>
      <c r="H97" s="3"/>
      <c r="I97" s="3">
        <v>0</v>
      </c>
      <c r="J97" s="3"/>
      <c r="K97" s="3">
        <v>0</v>
      </c>
      <c r="L97" s="3"/>
      <c r="M97" s="3">
        <v>-925045.6</v>
      </c>
      <c r="N97" s="3"/>
      <c r="O97" s="3">
        <v>0</v>
      </c>
      <c r="P97" s="3"/>
      <c r="Q97" s="3">
        <v>832946.74</v>
      </c>
      <c r="R97" s="3"/>
      <c r="S97" s="3">
        <v>36680.1</v>
      </c>
      <c r="T97" s="3"/>
      <c r="U97" s="3">
        <v>2262.29</v>
      </c>
      <c r="V97" s="3"/>
      <c r="W97" s="3">
        <v>0</v>
      </c>
      <c r="X97" s="3"/>
      <c r="Y97" s="3">
        <v>0</v>
      </c>
      <c r="Z97" s="3"/>
      <c r="AA97" s="3">
        <v>0</v>
      </c>
      <c r="AB97" s="3"/>
      <c r="AC97" s="3">
        <v>-53156.47</v>
      </c>
      <c r="AD97" s="3"/>
      <c r="AE97" s="3">
        <v>792130.72</v>
      </c>
      <c r="AF97" s="3"/>
      <c r="AG97" s="19">
        <f t="shared" si="2"/>
        <v>738974.25</v>
      </c>
      <c r="AH97" s="3"/>
    </row>
    <row r="98" spans="1:34" ht="12" customHeight="1">
      <c r="A98" s="3" t="s">
        <v>421</v>
      </c>
      <c r="B98" s="3"/>
      <c r="C98" s="3" t="s">
        <v>57</v>
      </c>
      <c r="D98" s="3"/>
      <c r="E98" s="3">
        <v>1650719.83</v>
      </c>
      <c r="F98" s="3"/>
      <c r="G98" s="3">
        <v>57307.71</v>
      </c>
      <c r="H98" s="3"/>
      <c r="I98" s="3">
        <v>9336.9</v>
      </c>
      <c r="J98" s="3"/>
      <c r="K98" s="3">
        <v>0</v>
      </c>
      <c r="L98" s="3"/>
      <c r="M98" s="3">
        <v>-1584075.22</v>
      </c>
      <c r="N98" s="3"/>
      <c r="O98" s="3">
        <v>0</v>
      </c>
      <c r="P98" s="3"/>
      <c r="Q98" s="3">
        <v>1330824.78</v>
      </c>
      <c r="R98" s="3"/>
      <c r="S98" s="3">
        <v>94997.27</v>
      </c>
      <c r="T98" s="3"/>
      <c r="U98" s="3">
        <v>3619.81</v>
      </c>
      <c r="V98" s="3"/>
      <c r="W98" s="3">
        <v>0</v>
      </c>
      <c r="X98" s="3"/>
      <c r="Y98" s="3">
        <v>0</v>
      </c>
      <c r="Z98" s="3"/>
      <c r="AA98" s="3">
        <v>0</v>
      </c>
      <c r="AB98" s="3"/>
      <c r="AC98" s="3">
        <v>-154633.36</v>
      </c>
      <c r="AD98" s="3"/>
      <c r="AE98" s="3">
        <v>1950490.09</v>
      </c>
      <c r="AF98" s="3"/>
      <c r="AG98" s="19">
        <f t="shared" si="2"/>
        <v>1795856.73</v>
      </c>
      <c r="AH98" s="3"/>
    </row>
    <row r="99" spans="1:34" ht="12" customHeight="1">
      <c r="A99" s="3" t="s">
        <v>422</v>
      </c>
      <c r="B99" s="3"/>
      <c r="C99" s="3" t="s">
        <v>55</v>
      </c>
      <c r="D99" s="3"/>
      <c r="E99" s="3">
        <v>680642.32</v>
      </c>
      <c r="F99" s="3"/>
      <c r="G99" s="3">
        <v>20064.22</v>
      </c>
      <c r="H99" s="3"/>
      <c r="I99" s="3">
        <v>0</v>
      </c>
      <c r="J99" s="3"/>
      <c r="K99" s="3">
        <v>0</v>
      </c>
      <c r="L99" s="3"/>
      <c r="M99" s="3">
        <v>-660578.1</v>
      </c>
      <c r="N99" s="3"/>
      <c r="O99" s="3">
        <v>0</v>
      </c>
      <c r="P99" s="3"/>
      <c r="Q99" s="3">
        <v>666639.42</v>
      </c>
      <c r="R99" s="3"/>
      <c r="S99" s="3">
        <v>71544.72</v>
      </c>
      <c r="T99" s="3"/>
      <c r="U99" s="3">
        <v>2175.1</v>
      </c>
      <c r="V99" s="3"/>
      <c r="W99" s="3">
        <v>0</v>
      </c>
      <c r="X99" s="3"/>
      <c r="Y99" s="3">
        <v>0</v>
      </c>
      <c r="Z99" s="3"/>
      <c r="AA99" s="3">
        <v>0</v>
      </c>
      <c r="AB99" s="3"/>
      <c r="AC99" s="3">
        <v>79781.14</v>
      </c>
      <c r="AD99" s="3"/>
      <c r="AE99" s="3">
        <v>1720140.37</v>
      </c>
      <c r="AF99" s="3"/>
      <c r="AG99" s="19">
        <f t="shared" si="2"/>
        <v>1799921.51</v>
      </c>
      <c r="AH99" s="3"/>
    </row>
    <row r="100" spans="1:33" ht="12" customHeight="1">
      <c r="A100" s="31" t="s">
        <v>158</v>
      </c>
      <c r="B100" s="31"/>
      <c r="C100" s="31" t="s">
        <v>18</v>
      </c>
      <c r="D100" s="16"/>
      <c r="E100" s="19">
        <v>836345</v>
      </c>
      <c r="F100" s="19"/>
      <c r="G100" s="19">
        <v>0</v>
      </c>
      <c r="H100" s="19"/>
      <c r="I100" s="19">
        <v>63227</v>
      </c>
      <c r="J100" s="19"/>
      <c r="K100" s="19">
        <v>0</v>
      </c>
      <c r="L100" s="19"/>
      <c r="M100" s="19">
        <v>-5896891</v>
      </c>
      <c r="N100" s="19"/>
      <c r="O100" s="19">
        <v>2150038</v>
      </c>
      <c r="P100" s="19"/>
      <c r="Q100" s="19">
        <v>3575566</v>
      </c>
      <c r="R100" s="19"/>
      <c r="S100" s="19">
        <v>44103</v>
      </c>
      <c r="T100" s="19"/>
      <c r="U100" s="19">
        <f>25129+15853+18260+228069</f>
        <v>287311</v>
      </c>
      <c r="V100" s="19"/>
      <c r="W100" s="19">
        <v>0</v>
      </c>
      <c r="X100" s="19"/>
      <c r="Y100" s="19">
        <v>0</v>
      </c>
      <c r="Z100" s="19"/>
      <c r="AA100" s="19">
        <v>0</v>
      </c>
      <c r="AB100" s="19"/>
      <c r="AC100" s="19">
        <v>160127</v>
      </c>
      <c r="AD100" s="19"/>
      <c r="AE100" s="19">
        <v>676218</v>
      </c>
      <c r="AF100" s="19"/>
      <c r="AG100" s="19">
        <f t="shared" si="2"/>
        <v>836345</v>
      </c>
    </row>
    <row r="101" spans="1:33" ht="12" customHeight="1" hidden="1">
      <c r="A101" s="13" t="s">
        <v>41</v>
      </c>
      <c r="B101" s="16"/>
      <c r="C101" s="16" t="s">
        <v>45</v>
      </c>
      <c r="D101" s="16"/>
      <c r="E101" s="19">
        <v>0</v>
      </c>
      <c r="F101" s="19"/>
      <c r="G101" s="19">
        <v>0</v>
      </c>
      <c r="H101" s="19"/>
      <c r="I101" s="19">
        <v>0</v>
      </c>
      <c r="J101" s="19"/>
      <c r="K101" s="19">
        <v>0</v>
      </c>
      <c r="L101" s="19"/>
      <c r="M101" s="19">
        <v>0</v>
      </c>
      <c r="N101" s="19"/>
      <c r="O101" s="19">
        <v>0</v>
      </c>
      <c r="P101" s="19"/>
      <c r="Q101" s="19">
        <v>0</v>
      </c>
      <c r="R101" s="19"/>
      <c r="S101" s="19">
        <v>0</v>
      </c>
      <c r="T101" s="19"/>
      <c r="U101" s="19">
        <v>0</v>
      </c>
      <c r="V101" s="19"/>
      <c r="W101" s="19">
        <v>0</v>
      </c>
      <c r="X101" s="19"/>
      <c r="Y101" s="19">
        <v>0</v>
      </c>
      <c r="Z101" s="19"/>
      <c r="AA101" s="19">
        <v>0</v>
      </c>
      <c r="AB101" s="19"/>
      <c r="AC101" s="19">
        <v>0</v>
      </c>
      <c r="AD101" s="19"/>
      <c r="AE101" s="19">
        <v>0</v>
      </c>
      <c r="AF101" s="19"/>
      <c r="AG101" s="19">
        <f t="shared" si="2"/>
        <v>0</v>
      </c>
    </row>
    <row r="102" spans="1:33" ht="12" customHeight="1" hidden="1">
      <c r="A102" s="16" t="s">
        <v>312</v>
      </c>
      <c r="B102" s="16"/>
      <c r="C102" s="16" t="s">
        <v>68</v>
      </c>
      <c r="D102" s="16"/>
      <c r="E102" s="19">
        <v>0</v>
      </c>
      <c r="F102" s="19"/>
      <c r="G102" s="19">
        <v>0</v>
      </c>
      <c r="H102" s="19"/>
      <c r="I102" s="19">
        <v>0</v>
      </c>
      <c r="J102" s="19"/>
      <c r="K102" s="19">
        <v>0</v>
      </c>
      <c r="L102" s="19"/>
      <c r="M102" s="19">
        <v>0</v>
      </c>
      <c r="N102" s="19"/>
      <c r="O102" s="19">
        <v>0</v>
      </c>
      <c r="P102" s="19"/>
      <c r="Q102" s="19">
        <v>0</v>
      </c>
      <c r="R102" s="19"/>
      <c r="S102" s="19">
        <v>0</v>
      </c>
      <c r="T102" s="19"/>
      <c r="U102" s="19">
        <v>0</v>
      </c>
      <c r="V102" s="19"/>
      <c r="W102" s="19">
        <v>0</v>
      </c>
      <c r="X102" s="19"/>
      <c r="Y102" s="19">
        <v>0</v>
      </c>
      <c r="Z102" s="19"/>
      <c r="AA102" s="19">
        <v>0</v>
      </c>
      <c r="AB102" s="19"/>
      <c r="AC102" s="19">
        <v>0</v>
      </c>
      <c r="AD102" s="19"/>
      <c r="AE102" s="19">
        <v>0</v>
      </c>
      <c r="AF102" s="19"/>
      <c r="AG102" s="19">
        <f t="shared" si="2"/>
        <v>0</v>
      </c>
    </row>
    <row r="103" spans="1:33" ht="12" customHeight="1" hidden="1">
      <c r="A103" s="13" t="s">
        <v>42</v>
      </c>
      <c r="B103" s="16"/>
      <c r="C103" s="16" t="s">
        <v>16</v>
      </c>
      <c r="D103" s="16"/>
      <c r="E103" s="19">
        <v>0</v>
      </c>
      <c r="F103" s="19"/>
      <c r="G103" s="19">
        <v>0</v>
      </c>
      <c r="H103" s="19"/>
      <c r="I103" s="19">
        <v>0</v>
      </c>
      <c r="J103" s="19"/>
      <c r="K103" s="19">
        <v>0</v>
      </c>
      <c r="L103" s="19"/>
      <c r="M103" s="19">
        <v>0</v>
      </c>
      <c r="N103" s="19"/>
      <c r="O103" s="19">
        <v>0</v>
      </c>
      <c r="P103" s="19"/>
      <c r="Q103" s="19">
        <v>0</v>
      </c>
      <c r="R103" s="19"/>
      <c r="S103" s="19">
        <v>0</v>
      </c>
      <c r="T103" s="19"/>
      <c r="U103" s="19">
        <v>0</v>
      </c>
      <c r="V103" s="19"/>
      <c r="W103" s="19">
        <v>0</v>
      </c>
      <c r="X103" s="19"/>
      <c r="Y103" s="19">
        <v>0</v>
      </c>
      <c r="Z103" s="19"/>
      <c r="AA103" s="19">
        <v>0</v>
      </c>
      <c r="AB103" s="19"/>
      <c r="AC103" s="19">
        <v>0</v>
      </c>
      <c r="AD103" s="19"/>
      <c r="AE103" s="19">
        <v>0</v>
      </c>
      <c r="AF103" s="19"/>
      <c r="AG103" s="19">
        <f t="shared" si="2"/>
        <v>0</v>
      </c>
    </row>
    <row r="104" spans="1:34" ht="12" customHeight="1">
      <c r="A104" s="3" t="s">
        <v>423</v>
      </c>
      <c r="B104" s="3"/>
      <c r="C104" s="3" t="s">
        <v>58</v>
      </c>
      <c r="D104" s="3"/>
      <c r="E104" s="3">
        <v>1053618.86</v>
      </c>
      <c r="F104" s="3"/>
      <c r="G104" s="3">
        <v>18563.85</v>
      </c>
      <c r="H104" s="3"/>
      <c r="I104" s="3">
        <v>0</v>
      </c>
      <c r="J104" s="3"/>
      <c r="K104" s="3">
        <v>0</v>
      </c>
      <c r="L104" s="3"/>
      <c r="M104" s="3">
        <v>-1035055.01</v>
      </c>
      <c r="N104" s="3"/>
      <c r="O104" s="3">
        <v>0</v>
      </c>
      <c r="P104" s="3"/>
      <c r="Q104" s="3">
        <v>854351.36</v>
      </c>
      <c r="R104" s="3"/>
      <c r="S104" s="3">
        <v>64807.19</v>
      </c>
      <c r="T104" s="3"/>
      <c r="U104" s="3">
        <v>728299</v>
      </c>
      <c r="V104" s="3"/>
      <c r="W104" s="3">
        <v>0</v>
      </c>
      <c r="X104" s="3"/>
      <c r="Y104" s="3">
        <v>0</v>
      </c>
      <c r="Z104" s="3"/>
      <c r="AA104" s="3">
        <v>0</v>
      </c>
      <c r="AB104" s="3"/>
      <c r="AC104" s="3">
        <v>612402.54</v>
      </c>
      <c r="AD104" s="3"/>
      <c r="AE104" s="3">
        <v>1199809.94</v>
      </c>
      <c r="AF104" s="3"/>
      <c r="AG104" s="19">
        <f t="shared" si="2"/>
        <v>1812212.48</v>
      </c>
      <c r="AH104" s="3"/>
    </row>
    <row r="105" spans="1:33" ht="12" customHeight="1" hidden="1">
      <c r="A105" s="13" t="s">
        <v>452</v>
      </c>
      <c r="B105" s="16"/>
      <c r="C105" s="16" t="s">
        <v>72</v>
      </c>
      <c r="D105" s="16"/>
      <c r="E105" s="19">
        <v>0</v>
      </c>
      <c r="F105" s="19"/>
      <c r="G105" s="19">
        <v>0</v>
      </c>
      <c r="H105" s="19"/>
      <c r="I105" s="19">
        <v>0</v>
      </c>
      <c r="J105" s="19"/>
      <c r="K105" s="19">
        <v>0</v>
      </c>
      <c r="L105" s="19"/>
      <c r="M105" s="19">
        <v>0</v>
      </c>
      <c r="N105" s="19"/>
      <c r="O105" s="19">
        <v>0</v>
      </c>
      <c r="P105" s="19"/>
      <c r="Q105" s="19">
        <v>0</v>
      </c>
      <c r="R105" s="19"/>
      <c r="S105" s="19">
        <v>0</v>
      </c>
      <c r="T105" s="19"/>
      <c r="U105" s="19">
        <v>0</v>
      </c>
      <c r="V105" s="19"/>
      <c r="W105" s="19">
        <v>0</v>
      </c>
      <c r="X105" s="19"/>
      <c r="Y105" s="19">
        <v>0</v>
      </c>
      <c r="Z105" s="19"/>
      <c r="AA105" s="19">
        <v>0</v>
      </c>
      <c r="AB105" s="19"/>
      <c r="AC105" s="19">
        <v>0</v>
      </c>
      <c r="AD105" s="19"/>
      <c r="AE105" s="19">
        <v>0</v>
      </c>
      <c r="AF105" s="19"/>
      <c r="AG105" s="19">
        <f t="shared" si="2"/>
        <v>0</v>
      </c>
    </row>
    <row r="106" spans="1:33" ht="12" customHeight="1" hidden="1">
      <c r="A106" s="13" t="s">
        <v>453</v>
      </c>
      <c r="B106" s="16"/>
      <c r="C106" s="16" t="s">
        <v>73</v>
      </c>
      <c r="D106" s="16"/>
      <c r="E106" s="19">
        <v>0</v>
      </c>
      <c r="F106" s="19"/>
      <c r="G106" s="19">
        <v>0</v>
      </c>
      <c r="H106" s="19"/>
      <c r="I106" s="19">
        <v>0</v>
      </c>
      <c r="J106" s="19"/>
      <c r="K106" s="19">
        <v>0</v>
      </c>
      <c r="L106" s="19"/>
      <c r="M106" s="19">
        <v>0</v>
      </c>
      <c r="N106" s="19"/>
      <c r="O106" s="19">
        <v>0</v>
      </c>
      <c r="P106" s="19"/>
      <c r="Q106" s="19">
        <v>0</v>
      </c>
      <c r="R106" s="19"/>
      <c r="S106" s="19">
        <v>0</v>
      </c>
      <c r="T106" s="19"/>
      <c r="U106" s="19">
        <v>0</v>
      </c>
      <c r="V106" s="19"/>
      <c r="W106" s="19">
        <v>0</v>
      </c>
      <c r="X106" s="19"/>
      <c r="Y106" s="19">
        <v>0</v>
      </c>
      <c r="Z106" s="19"/>
      <c r="AA106" s="19">
        <v>0</v>
      </c>
      <c r="AB106" s="19"/>
      <c r="AC106" s="19">
        <v>0</v>
      </c>
      <c r="AD106" s="19"/>
      <c r="AE106" s="19">
        <v>0</v>
      </c>
      <c r="AF106" s="19"/>
      <c r="AG106" s="19">
        <f t="shared" si="2"/>
        <v>0</v>
      </c>
    </row>
    <row r="107" spans="1:34" ht="12" customHeight="1">
      <c r="A107" s="3" t="s">
        <v>429</v>
      </c>
      <c r="B107" s="3"/>
      <c r="C107" s="3" t="s">
        <v>60</v>
      </c>
      <c r="D107" s="3"/>
      <c r="E107" s="3">
        <v>691065.14</v>
      </c>
      <c r="F107" s="3"/>
      <c r="G107" s="3">
        <v>22032.71</v>
      </c>
      <c r="H107" s="3"/>
      <c r="I107" s="3">
        <v>4235</v>
      </c>
      <c r="J107" s="3"/>
      <c r="K107" s="3">
        <v>0</v>
      </c>
      <c r="L107" s="3"/>
      <c r="M107" s="3">
        <v>-664797.43</v>
      </c>
      <c r="N107" s="3"/>
      <c r="O107" s="3">
        <v>0</v>
      </c>
      <c r="P107" s="3"/>
      <c r="Q107" s="3">
        <v>588496.67</v>
      </c>
      <c r="R107" s="3"/>
      <c r="S107" s="3">
        <v>26793.69</v>
      </c>
      <c r="T107" s="3"/>
      <c r="U107" s="3">
        <v>1510.91</v>
      </c>
      <c r="V107" s="3"/>
      <c r="W107" s="3">
        <v>0</v>
      </c>
      <c r="X107" s="3"/>
      <c r="Y107" s="3">
        <v>0</v>
      </c>
      <c r="Z107" s="3"/>
      <c r="AA107" s="3">
        <v>0</v>
      </c>
      <c r="AB107" s="3"/>
      <c r="AC107" s="3">
        <v>-47996.16</v>
      </c>
      <c r="AD107" s="3"/>
      <c r="AE107" s="3">
        <v>498675.21</v>
      </c>
      <c r="AF107" s="3"/>
      <c r="AG107" s="19">
        <f t="shared" si="2"/>
        <v>450679.05000000005</v>
      </c>
      <c r="AH107" s="3"/>
    </row>
    <row r="108" spans="1:33" ht="12" customHeight="1" hidden="1">
      <c r="A108" s="16" t="s">
        <v>323</v>
      </c>
      <c r="B108" s="16"/>
      <c r="C108" s="16" t="s">
        <v>58</v>
      </c>
      <c r="D108" s="16"/>
      <c r="E108" s="19">
        <v>0</v>
      </c>
      <c r="F108" s="19"/>
      <c r="G108" s="19">
        <v>0</v>
      </c>
      <c r="H108" s="19"/>
      <c r="I108" s="19">
        <v>0</v>
      </c>
      <c r="J108" s="19"/>
      <c r="K108" s="19">
        <v>0</v>
      </c>
      <c r="L108" s="19"/>
      <c r="M108" s="19">
        <v>0</v>
      </c>
      <c r="N108" s="19"/>
      <c r="O108" s="19">
        <v>0</v>
      </c>
      <c r="P108" s="19"/>
      <c r="Q108" s="19">
        <v>0</v>
      </c>
      <c r="R108" s="19"/>
      <c r="S108" s="19">
        <v>0</v>
      </c>
      <c r="T108" s="19"/>
      <c r="U108" s="19">
        <v>0</v>
      </c>
      <c r="V108" s="19"/>
      <c r="W108" s="19">
        <v>0</v>
      </c>
      <c r="X108" s="19"/>
      <c r="Y108" s="19">
        <v>0</v>
      </c>
      <c r="Z108" s="19"/>
      <c r="AA108" s="19">
        <v>0</v>
      </c>
      <c r="AB108" s="19"/>
      <c r="AC108" s="19">
        <v>0</v>
      </c>
      <c r="AD108" s="19"/>
      <c r="AE108" s="19">
        <v>0</v>
      </c>
      <c r="AF108" s="19"/>
      <c r="AG108" s="19">
        <f t="shared" si="2"/>
        <v>0</v>
      </c>
    </row>
    <row r="109" spans="1:34" s="3" customFormat="1" ht="12.75">
      <c r="A109" s="31" t="s">
        <v>164</v>
      </c>
      <c r="B109" s="31"/>
      <c r="C109" s="31" t="s">
        <v>165</v>
      </c>
      <c r="D109" s="16"/>
      <c r="E109" s="19">
        <v>2716324</v>
      </c>
      <c r="F109" s="19"/>
      <c r="G109" s="19">
        <v>202057</v>
      </c>
      <c r="H109" s="19"/>
      <c r="I109" s="19">
        <v>0</v>
      </c>
      <c r="J109" s="19"/>
      <c r="K109" s="19">
        <v>0</v>
      </c>
      <c r="L109" s="19"/>
      <c r="M109" s="19">
        <v>-7391970</v>
      </c>
      <c r="N109" s="19"/>
      <c r="O109" s="19">
        <v>3311123</v>
      </c>
      <c r="P109" s="19"/>
      <c r="Q109" s="19">
        <v>5374459</v>
      </c>
      <c r="R109" s="19"/>
      <c r="S109" s="19">
        <v>479127</v>
      </c>
      <c r="T109" s="19"/>
      <c r="U109" s="19">
        <v>42181</v>
      </c>
      <c r="V109" s="19"/>
      <c r="W109" s="19">
        <v>0</v>
      </c>
      <c r="X109" s="19"/>
      <c r="Y109" s="19">
        <v>0</v>
      </c>
      <c r="Z109" s="19"/>
      <c r="AA109" s="19">
        <v>0</v>
      </c>
      <c r="AB109" s="19"/>
      <c r="AC109" s="19">
        <v>1814920</v>
      </c>
      <c r="AD109" s="19"/>
      <c r="AE109" s="19">
        <v>7948976</v>
      </c>
      <c r="AF109" s="19"/>
      <c r="AG109" s="19">
        <f t="shared" si="2"/>
        <v>9763896</v>
      </c>
      <c r="AH109" s="10"/>
    </row>
    <row r="110" spans="1:33" s="3" customFormat="1" ht="12">
      <c r="A110" s="3" t="s">
        <v>39</v>
      </c>
      <c r="C110" s="3" t="s">
        <v>60</v>
      </c>
      <c r="E110" s="3">
        <v>456445.9</v>
      </c>
      <c r="G110" s="3">
        <v>14633.16</v>
      </c>
      <c r="I110" s="3">
        <v>0</v>
      </c>
      <c r="K110" s="3">
        <v>0</v>
      </c>
      <c r="M110" s="3">
        <v>-441812.74</v>
      </c>
      <c r="O110" s="3">
        <v>0</v>
      </c>
      <c r="Q110" s="3">
        <v>419439.67</v>
      </c>
      <c r="S110" s="3">
        <v>32121.79</v>
      </c>
      <c r="U110" s="3">
        <v>530.45</v>
      </c>
      <c r="W110" s="3">
        <v>550631.25</v>
      </c>
      <c r="Y110" s="3">
        <v>0</v>
      </c>
      <c r="AA110" s="3">
        <v>0</v>
      </c>
      <c r="AC110" s="3">
        <v>560910.42</v>
      </c>
      <c r="AE110" s="3">
        <v>598335.29</v>
      </c>
      <c r="AG110" s="19">
        <f t="shared" si="2"/>
        <v>1159245.71</v>
      </c>
    </row>
    <row r="111" spans="1:33" s="3" customFormat="1" ht="12">
      <c r="A111" s="3" t="s">
        <v>615</v>
      </c>
      <c r="C111" s="3" t="s">
        <v>61</v>
      </c>
      <c r="E111" s="3">
        <v>1792810.88</v>
      </c>
      <c r="G111" s="3">
        <v>67294.31</v>
      </c>
      <c r="I111" s="3">
        <v>0</v>
      </c>
      <c r="K111" s="3">
        <v>2025</v>
      </c>
      <c r="M111" s="3">
        <v>-1723491.57</v>
      </c>
      <c r="O111" s="3">
        <v>1412969.31</v>
      </c>
      <c r="Q111" s="3">
        <v>39103.74</v>
      </c>
      <c r="S111" s="3">
        <v>143573.16</v>
      </c>
      <c r="U111" s="3">
        <v>5191</v>
      </c>
      <c r="W111" s="3">
        <v>0</v>
      </c>
      <c r="Y111" s="3">
        <v>0</v>
      </c>
      <c r="AA111" s="3">
        <v>0</v>
      </c>
      <c r="AC111" s="3">
        <v>-122654.36</v>
      </c>
      <c r="AE111" s="3">
        <v>2861062.57</v>
      </c>
      <c r="AG111" s="19">
        <f t="shared" si="2"/>
        <v>2738408.21</v>
      </c>
    </row>
    <row r="112" spans="1:33" s="3" customFormat="1" ht="12">
      <c r="A112" s="3" t="s">
        <v>179</v>
      </c>
      <c r="C112" s="3" t="s">
        <v>59</v>
      </c>
      <c r="E112" s="3">
        <v>955712.64</v>
      </c>
      <c r="G112" s="3">
        <v>19950.73</v>
      </c>
      <c r="I112" s="3">
        <v>0</v>
      </c>
      <c r="K112" s="3">
        <v>0</v>
      </c>
      <c r="M112" s="3">
        <v>-935761.91</v>
      </c>
      <c r="O112" s="3">
        <v>0</v>
      </c>
      <c r="Q112" s="3">
        <v>906528.51</v>
      </c>
      <c r="S112" s="3">
        <v>31584.6</v>
      </c>
      <c r="U112" s="3">
        <v>2180.99</v>
      </c>
      <c r="W112" s="3">
        <v>0</v>
      </c>
      <c r="Y112" s="3">
        <v>0</v>
      </c>
      <c r="AA112" s="3">
        <v>0</v>
      </c>
      <c r="AC112" s="3">
        <v>4532.19</v>
      </c>
      <c r="AE112" s="3">
        <v>595768.52</v>
      </c>
      <c r="AG112" s="19">
        <f t="shared" si="2"/>
        <v>600300.71</v>
      </c>
    </row>
    <row r="113" spans="1:33" s="3" customFormat="1" ht="12">
      <c r="A113" s="3" t="s">
        <v>428</v>
      </c>
      <c r="C113" s="3" t="s">
        <v>186</v>
      </c>
      <c r="E113" s="3">
        <v>504296.27</v>
      </c>
      <c r="G113" s="3">
        <v>16764.8</v>
      </c>
      <c r="I113" s="3">
        <v>0</v>
      </c>
      <c r="K113" s="3">
        <v>0</v>
      </c>
      <c r="M113" s="3">
        <v>-487531.47</v>
      </c>
      <c r="O113" s="3">
        <v>0</v>
      </c>
      <c r="Q113" s="3">
        <v>499138.88</v>
      </c>
      <c r="S113" s="3">
        <v>30263.17</v>
      </c>
      <c r="U113" s="3">
        <v>2212.56</v>
      </c>
      <c r="W113" s="3">
        <v>0</v>
      </c>
      <c r="Y113" s="3">
        <v>0</v>
      </c>
      <c r="AA113" s="3">
        <v>0</v>
      </c>
      <c r="AC113" s="3">
        <v>44083.14</v>
      </c>
      <c r="AE113" s="3">
        <v>595547.52</v>
      </c>
      <c r="AG113" s="19">
        <f t="shared" si="2"/>
        <v>639630.66</v>
      </c>
    </row>
    <row r="114" spans="1:33" s="3" customFormat="1" ht="12">
      <c r="A114" s="3" t="s">
        <v>425</v>
      </c>
      <c r="C114" s="3" t="s">
        <v>62</v>
      </c>
      <c r="E114" s="3">
        <v>614541.51</v>
      </c>
      <c r="G114" s="3">
        <v>15334.44</v>
      </c>
      <c r="I114" s="3">
        <v>0</v>
      </c>
      <c r="K114" s="3">
        <v>0</v>
      </c>
      <c r="M114" s="3">
        <v>-599207.07</v>
      </c>
      <c r="O114" s="3">
        <v>0</v>
      </c>
      <c r="Q114" s="3">
        <v>531346.04</v>
      </c>
      <c r="S114" s="3">
        <v>21639.86</v>
      </c>
      <c r="U114" s="3">
        <v>8400.57</v>
      </c>
      <c r="W114" s="3">
        <v>0</v>
      </c>
      <c r="Y114" s="3">
        <v>0</v>
      </c>
      <c r="AA114" s="3">
        <v>0</v>
      </c>
      <c r="AC114" s="3">
        <v>-37820.6</v>
      </c>
      <c r="AE114" s="3">
        <v>444257.95</v>
      </c>
      <c r="AG114" s="19">
        <f aca="true" t="shared" si="3" ref="AG114:AG141">AE114+AC114</f>
        <v>406437.35000000003</v>
      </c>
    </row>
    <row r="115" spans="1:34" s="3" customFormat="1" ht="12.75">
      <c r="A115" s="13" t="s">
        <v>497</v>
      </c>
      <c r="B115" s="16"/>
      <c r="C115" s="16" t="s">
        <v>20</v>
      </c>
      <c r="D115" s="16"/>
      <c r="E115" s="19">
        <v>8762848</v>
      </c>
      <c r="F115" s="19"/>
      <c r="G115" s="19">
        <v>90256</v>
      </c>
      <c r="H115" s="19"/>
      <c r="I115" s="19">
        <v>0</v>
      </c>
      <c r="J115" s="19"/>
      <c r="K115" s="19">
        <v>0</v>
      </c>
      <c r="L115" s="19"/>
      <c r="M115" s="19">
        <v>-12336936</v>
      </c>
      <c r="N115" s="19"/>
      <c r="O115" s="19">
        <v>2275756</v>
      </c>
      <c r="P115" s="19"/>
      <c r="Q115" s="19">
        <v>2377235</v>
      </c>
      <c r="R115" s="19"/>
      <c r="S115" s="19">
        <v>614809</v>
      </c>
      <c r="T115" s="19"/>
      <c r="U115" s="19">
        <v>95917</v>
      </c>
      <c r="V115" s="19"/>
      <c r="W115" s="19">
        <v>0</v>
      </c>
      <c r="X115" s="19"/>
      <c r="Y115" s="19">
        <v>0</v>
      </c>
      <c r="Z115" s="19"/>
      <c r="AA115" s="19">
        <v>0</v>
      </c>
      <c r="AB115" s="19"/>
      <c r="AC115" s="19">
        <v>-6973219</v>
      </c>
      <c r="AD115" s="19"/>
      <c r="AE115" s="19">
        <v>15736067</v>
      </c>
      <c r="AF115" s="19"/>
      <c r="AG115" s="19">
        <f t="shared" si="3"/>
        <v>8762848</v>
      </c>
      <c r="AH115" s="10"/>
    </row>
    <row r="116" spans="1:33" s="3" customFormat="1" ht="12">
      <c r="A116" s="3" t="s">
        <v>426</v>
      </c>
      <c r="C116" s="3" t="s">
        <v>57</v>
      </c>
      <c r="E116" s="3">
        <v>1121070.64</v>
      </c>
      <c r="G116" s="3">
        <v>26275.58</v>
      </c>
      <c r="I116" s="3">
        <v>0</v>
      </c>
      <c r="K116" s="3">
        <v>0</v>
      </c>
      <c r="M116" s="3">
        <v>-1094795.06</v>
      </c>
      <c r="O116" s="3">
        <v>0</v>
      </c>
      <c r="Q116" s="3">
        <v>856875.87</v>
      </c>
      <c r="S116" s="3">
        <v>121936.73</v>
      </c>
      <c r="U116" s="3">
        <v>559.15</v>
      </c>
      <c r="W116" s="3">
        <v>0</v>
      </c>
      <c r="Y116" s="3">
        <v>0</v>
      </c>
      <c r="AA116" s="3">
        <v>0</v>
      </c>
      <c r="AC116" s="3">
        <v>-115423.31</v>
      </c>
      <c r="AE116" s="3">
        <v>2160429.7</v>
      </c>
      <c r="AG116" s="19">
        <f t="shared" si="3"/>
        <v>2045006.3900000001</v>
      </c>
    </row>
    <row r="117" spans="1:33" s="3" customFormat="1" ht="12">
      <c r="A117" s="3" t="s">
        <v>617</v>
      </c>
      <c r="C117" s="3" t="s">
        <v>54</v>
      </c>
      <c r="E117" s="3">
        <v>408916.92</v>
      </c>
      <c r="G117" s="3">
        <v>6925.6</v>
      </c>
      <c r="I117" s="3">
        <v>0</v>
      </c>
      <c r="K117" s="3">
        <v>0</v>
      </c>
      <c r="M117" s="3">
        <v>-401991.32</v>
      </c>
      <c r="O117" s="3">
        <v>0</v>
      </c>
      <c r="Q117" s="3">
        <v>334048.33</v>
      </c>
      <c r="S117" s="3">
        <v>103082.7</v>
      </c>
      <c r="U117" s="3">
        <v>25916.51</v>
      </c>
      <c r="W117" s="3">
        <v>1450000</v>
      </c>
      <c r="Y117" s="3">
        <v>0</v>
      </c>
      <c r="AA117" s="3">
        <v>0</v>
      </c>
      <c r="AC117" s="3">
        <v>1511056.22</v>
      </c>
      <c r="AE117" s="3">
        <v>648211.91</v>
      </c>
      <c r="AG117" s="19">
        <f t="shared" si="3"/>
        <v>2159268.13</v>
      </c>
    </row>
    <row r="118" spans="1:34" s="3" customFormat="1" ht="12.75">
      <c r="A118" s="31" t="s">
        <v>12</v>
      </c>
      <c r="B118" s="31"/>
      <c r="C118" s="31" t="s">
        <v>13</v>
      </c>
      <c r="D118" s="16"/>
      <c r="E118" s="19">
        <v>1152549</v>
      </c>
      <c r="F118" s="19"/>
      <c r="G118" s="19">
        <v>23987</v>
      </c>
      <c r="H118" s="19"/>
      <c r="I118" s="19">
        <v>0</v>
      </c>
      <c r="J118" s="19"/>
      <c r="K118" s="19">
        <v>0</v>
      </c>
      <c r="L118" s="19"/>
      <c r="M118" s="19">
        <v>-764682</v>
      </c>
      <c r="N118" s="19"/>
      <c r="O118" s="19">
        <v>293859</v>
      </c>
      <c r="P118" s="19"/>
      <c r="Q118" s="19">
        <v>608300</v>
      </c>
      <c r="R118" s="19"/>
      <c r="S118" s="19">
        <v>55942</v>
      </c>
      <c r="T118" s="19"/>
      <c r="U118" s="19">
        <f>1788+1285</f>
        <v>3073</v>
      </c>
      <c r="V118" s="19"/>
      <c r="W118" s="19">
        <v>0</v>
      </c>
      <c r="X118" s="19"/>
      <c r="Y118" s="19">
        <v>0</v>
      </c>
      <c r="Z118" s="19"/>
      <c r="AA118" s="19">
        <v>0</v>
      </c>
      <c r="AB118" s="19"/>
      <c r="AC118" s="19">
        <v>196492</v>
      </c>
      <c r="AD118" s="19"/>
      <c r="AE118" s="19">
        <v>956057</v>
      </c>
      <c r="AF118" s="19"/>
      <c r="AG118" s="19">
        <f t="shared" si="3"/>
        <v>1152549</v>
      </c>
      <c r="AH118" s="10"/>
    </row>
    <row r="119" spans="1:33" s="3" customFormat="1" ht="12">
      <c r="A119" s="3" t="s">
        <v>621</v>
      </c>
      <c r="C119" s="3" t="s">
        <v>26</v>
      </c>
      <c r="E119" s="3">
        <v>814361.81</v>
      </c>
      <c r="G119" s="3">
        <v>35335.16</v>
      </c>
      <c r="I119" s="3">
        <v>0</v>
      </c>
      <c r="K119" s="3">
        <v>0</v>
      </c>
      <c r="M119" s="3">
        <v>-779026.65</v>
      </c>
      <c r="O119" s="3">
        <v>693003.02</v>
      </c>
      <c r="Q119" s="3">
        <v>9677.7</v>
      </c>
      <c r="S119" s="3">
        <v>32903.34</v>
      </c>
      <c r="U119" s="3">
        <v>6393.61</v>
      </c>
      <c r="W119" s="3">
        <v>0</v>
      </c>
      <c r="Y119" s="3">
        <v>0</v>
      </c>
      <c r="AA119" s="3">
        <v>0</v>
      </c>
      <c r="AC119" s="3">
        <v>-37048.98</v>
      </c>
      <c r="AE119" s="3">
        <v>653460.66</v>
      </c>
      <c r="AG119" s="19">
        <f t="shared" si="3"/>
        <v>616411.68</v>
      </c>
    </row>
    <row r="120" spans="1:34" s="3" customFormat="1" ht="12.75">
      <c r="A120" s="31" t="s">
        <v>499</v>
      </c>
      <c r="B120" s="31"/>
      <c r="C120" s="31" t="s">
        <v>14</v>
      </c>
      <c r="D120" s="16"/>
      <c r="E120" s="19">
        <v>48569</v>
      </c>
      <c r="F120" s="19"/>
      <c r="G120" s="19">
        <v>40604</v>
      </c>
      <c r="H120" s="19"/>
      <c r="I120" s="19">
        <v>0</v>
      </c>
      <c r="J120" s="19"/>
      <c r="K120" s="19">
        <v>0</v>
      </c>
      <c r="L120" s="19"/>
      <c r="M120" s="19">
        <v>-1236007</v>
      </c>
      <c r="N120" s="19"/>
      <c r="O120" s="19">
        <v>0</v>
      </c>
      <c r="P120" s="19"/>
      <c r="Q120" s="19">
        <v>1162484</v>
      </c>
      <c r="R120" s="19"/>
      <c r="S120" s="19">
        <v>25891</v>
      </c>
      <c r="T120" s="19"/>
      <c r="U120" s="19">
        <f>15218+21612</f>
        <v>36830</v>
      </c>
      <c r="V120" s="19"/>
      <c r="W120" s="19">
        <v>0</v>
      </c>
      <c r="X120" s="19"/>
      <c r="Y120" s="19">
        <v>0</v>
      </c>
      <c r="Z120" s="19"/>
      <c r="AA120" s="19">
        <v>0</v>
      </c>
      <c r="AB120" s="19"/>
      <c r="AC120" s="19">
        <v>-35253</v>
      </c>
      <c r="AD120" s="19"/>
      <c r="AE120" s="19">
        <v>689659</v>
      </c>
      <c r="AF120" s="19"/>
      <c r="AG120" s="19">
        <f t="shared" si="3"/>
        <v>654406</v>
      </c>
      <c r="AH120" s="10"/>
    </row>
    <row r="121" spans="1:33" s="3" customFormat="1" ht="12">
      <c r="A121" s="3" t="s">
        <v>499</v>
      </c>
      <c r="C121" s="3" t="s">
        <v>14</v>
      </c>
      <c r="E121" s="3">
        <v>1276610.46</v>
      </c>
      <c r="G121" s="3">
        <v>40603.87</v>
      </c>
      <c r="I121" s="3">
        <v>0</v>
      </c>
      <c r="K121" s="3">
        <v>0</v>
      </c>
      <c r="M121" s="3">
        <v>-1236006.59</v>
      </c>
      <c r="O121" s="3">
        <v>0</v>
      </c>
      <c r="Q121" s="3">
        <v>1164644.13</v>
      </c>
      <c r="S121" s="3">
        <v>25890.95</v>
      </c>
      <c r="U121" s="3">
        <v>15218.41</v>
      </c>
      <c r="W121" s="3">
        <v>0</v>
      </c>
      <c r="Y121" s="3">
        <v>-5000</v>
      </c>
      <c r="AA121" s="3">
        <v>0</v>
      </c>
      <c r="AC121" s="3">
        <v>-35253.1</v>
      </c>
      <c r="AE121" s="3">
        <v>689658.76</v>
      </c>
      <c r="AG121" s="19">
        <f t="shared" si="3"/>
        <v>654405.66</v>
      </c>
    </row>
    <row r="122" spans="1:33" s="3" customFormat="1" ht="12">
      <c r="A122" s="3" t="s">
        <v>440</v>
      </c>
      <c r="C122" s="3" t="s">
        <v>207</v>
      </c>
      <c r="E122" s="3">
        <v>18670.72</v>
      </c>
      <c r="G122" s="3">
        <v>0</v>
      </c>
      <c r="I122" s="3">
        <v>0</v>
      </c>
      <c r="K122" s="3">
        <v>0</v>
      </c>
      <c r="M122" s="3">
        <v>-18670.72</v>
      </c>
      <c r="O122" s="3">
        <v>0</v>
      </c>
      <c r="Q122" s="3">
        <v>4296</v>
      </c>
      <c r="S122" s="3">
        <v>48747.9</v>
      </c>
      <c r="U122" s="3">
        <v>0</v>
      </c>
      <c r="W122" s="3">
        <v>0</v>
      </c>
      <c r="Y122" s="3">
        <v>0</v>
      </c>
      <c r="AA122" s="3">
        <v>0</v>
      </c>
      <c r="AC122" s="3">
        <v>34373.18</v>
      </c>
      <c r="AE122" s="3">
        <v>878925.86</v>
      </c>
      <c r="AG122" s="19">
        <f t="shared" si="3"/>
        <v>913299.04</v>
      </c>
    </row>
    <row r="123" spans="1:33" s="3" customFormat="1" ht="12">
      <c r="A123" s="3" t="s">
        <v>430</v>
      </c>
      <c r="C123" s="3" t="s">
        <v>57</v>
      </c>
      <c r="E123" s="3">
        <v>782636.55</v>
      </c>
      <c r="G123" s="3">
        <v>18074.09</v>
      </c>
      <c r="I123" s="3">
        <v>0</v>
      </c>
      <c r="K123" s="3">
        <v>0</v>
      </c>
      <c r="M123" s="3">
        <v>-764562.46</v>
      </c>
      <c r="O123" s="3">
        <v>0</v>
      </c>
      <c r="Q123" s="3">
        <v>699470.89</v>
      </c>
      <c r="S123" s="3">
        <v>32471.49</v>
      </c>
      <c r="U123" s="3">
        <v>9183.8</v>
      </c>
      <c r="W123" s="3">
        <v>0</v>
      </c>
      <c r="Y123" s="3">
        <v>0</v>
      </c>
      <c r="AA123" s="3">
        <v>2220.29</v>
      </c>
      <c r="AC123" s="3">
        <v>-21215.99</v>
      </c>
      <c r="AE123" s="3">
        <v>669532.36</v>
      </c>
      <c r="AG123" s="19">
        <f t="shared" si="3"/>
        <v>648316.37</v>
      </c>
    </row>
    <row r="124" spans="1:33" s="3" customFormat="1" ht="12">
      <c r="A124" s="3" t="s">
        <v>432</v>
      </c>
      <c r="C124" s="3" t="s">
        <v>57</v>
      </c>
      <c r="E124" s="3">
        <v>1397204.94</v>
      </c>
      <c r="G124" s="3">
        <v>47220.81</v>
      </c>
      <c r="I124" s="3">
        <v>0</v>
      </c>
      <c r="K124" s="3">
        <v>0</v>
      </c>
      <c r="M124" s="3">
        <v>-1349984.13</v>
      </c>
      <c r="O124" s="3">
        <v>0</v>
      </c>
      <c r="Q124" s="3">
        <v>1238002.63</v>
      </c>
      <c r="S124" s="3">
        <v>94310.19</v>
      </c>
      <c r="U124" s="3">
        <v>2488.96</v>
      </c>
      <c r="W124" s="3">
        <v>0</v>
      </c>
      <c r="Y124" s="3">
        <v>0</v>
      </c>
      <c r="AA124" s="3">
        <v>0</v>
      </c>
      <c r="AC124" s="3">
        <v>-15182.35</v>
      </c>
      <c r="AE124" s="3">
        <v>1901137.52</v>
      </c>
      <c r="AG124" s="19">
        <f t="shared" si="3"/>
        <v>1885955.17</v>
      </c>
    </row>
    <row r="125" spans="1:33" s="3" customFormat="1" ht="12">
      <c r="A125" s="3" t="s">
        <v>217</v>
      </c>
      <c r="C125" s="3" t="s">
        <v>26</v>
      </c>
      <c r="E125" s="3">
        <v>2492561.63</v>
      </c>
      <c r="G125" s="3">
        <v>47928.44</v>
      </c>
      <c r="I125" s="3">
        <v>34813.44</v>
      </c>
      <c r="K125" s="3">
        <v>0</v>
      </c>
      <c r="M125" s="3">
        <v>-2409819.75</v>
      </c>
      <c r="O125" s="3">
        <v>869895.16</v>
      </c>
      <c r="Q125" s="3">
        <v>1621392.91</v>
      </c>
      <c r="S125" s="3">
        <v>66225.84</v>
      </c>
      <c r="U125" s="3">
        <v>13309.18</v>
      </c>
      <c r="W125" s="3">
        <v>0</v>
      </c>
      <c r="Y125" s="3">
        <v>0</v>
      </c>
      <c r="AA125" s="3">
        <v>0</v>
      </c>
      <c r="AC125" s="3">
        <v>243745.22</v>
      </c>
      <c r="AE125" s="3">
        <v>1092458.4</v>
      </c>
      <c r="AG125" s="19">
        <f t="shared" si="3"/>
        <v>1336203.6199999999</v>
      </c>
    </row>
    <row r="126" spans="1:33" s="3" customFormat="1" ht="12">
      <c r="A126" s="3" t="s">
        <v>433</v>
      </c>
      <c r="C126" s="3" t="s">
        <v>65</v>
      </c>
      <c r="E126" s="3">
        <v>349745.64</v>
      </c>
      <c r="G126" s="3">
        <v>7801.32</v>
      </c>
      <c r="I126" s="3">
        <v>6360.57</v>
      </c>
      <c r="K126" s="3">
        <v>0</v>
      </c>
      <c r="M126" s="3">
        <v>-335583.75</v>
      </c>
      <c r="O126" s="3">
        <v>311660.34</v>
      </c>
      <c r="Q126" s="3">
        <v>2986.29</v>
      </c>
      <c r="S126" s="3">
        <v>28423.79</v>
      </c>
      <c r="U126" s="3">
        <v>190.77</v>
      </c>
      <c r="W126" s="3">
        <v>0</v>
      </c>
      <c r="Y126" s="3">
        <v>0</v>
      </c>
      <c r="AA126" s="3">
        <v>0</v>
      </c>
      <c r="AC126" s="3">
        <v>7677.44</v>
      </c>
      <c r="AE126" s="3">
        <v>577447.58</v>
      </c>
      <c r="AG126" s="19">
        <f t="shared" si="3"/>
        <v>585125.0199999999</v>
      </c>
    </row>
    <row r="127" spans="1:34" s="3" customFormat="1" ht="12.75">
      <c r="A127" s="31" t="s">
        <v>222</v>
      </c>
      <c r="B127" s="31"/>
      <c r="C127" s="31" t="s">
        <v>11</v>
      </c>
      <c r="D127" s="16"/>
      <c r="E127" s="19">
        <v>1020180</v>
      </c>
      <c r="F127" s="19"/>
      <c r="G127" s="19">
        <v>250968</v>
      </c>
      <c r="H127" s="19"/>
      <c r="I127" s="19">
        <v>0</v>
      </c>
      <c r="J127" s="19"/>
      <c r="K127" s="19">
        <v>0</v>
      </c>
      <c r="L127" s="19"/>
      <c r="M127" s="19">
        <v>-5814898</v>
      </c>
      <c r="N127" s="19"/>
      <c r="O127" s="19">
        <v>0</v>
      </c>
      <c r="P127" s="19"/>
      <c r="Q127" s="19">
        <v>5481189</v>
      </c>
      <c r="R127" s="19"/>
      <c r="S127" s="19">
        <v>332579</v>
      </c>
      <c r="T127" s="19"/>
      <c r="U127" s="19">
        <f>16940+887</f>
        <v>17827</v>
      </c>
      <c r="V127" s="19"/>
      <c r="W127" s="19">
        <v>0</v>
      </c>
      <c r="X127" s="19"/>
      <c r="Y127" s="19">
        <v>0</v>
      </c>
      <c r="Z127" s="19"/>
      <c r="AA127" s="19">
        <v>0</v>
      </c>
      <c r="AB127" s="19"/>
      <c r="AC127" s="19">
        <v>16697</v>
      </c>
      <c r="AD127" s="19"/>
      <c r="AE127" s="19">
        <v>5803483</v>
      </c>
      <c r="AF127" s="19"/>
      <c r="AG127" s="19">
        <f t="shared" si="3"/>
        <v>5820180</v>
      </c>
      <c r="AH127" s="10"/>
    </row>
    <row r="128" spans="1:33" s="3" customFormat="1" ht="12">
      <c r="A128" s="3" t="s">
        <v>434</v>
      </c>
      <c r="C128" s="3" t="s">
        <v>26</v>
      </c>
      <c r="E128" s="3">
        <v>818296.36</v>
      </c>
      <c r="G128" s="3">
        <v>23886.55</v>
      </c>
      <c r="I128" s="3">
        <v>1632.67</v>
      </c>
      <c r="K128" s="3">
        <v>0</v>
      </c>
      <c r="M128" s="3">
        <v>-792777.14</v>
      </c>
      <c r="O128" s="3">
        <v>0</v>
      </c>
      <c r="Q128" s="3">
        <v>838075.62</v>
      </c>
      <c r="S128" s="3">
        <v>7470.24</v>
      </c>
      <c r="U128" s="3">
        <v>273.75</v>
      </c>
      <c r="W128" s="3">
        <v>0</v>
      </c>
      <c r="Y128" s="3">
        <v>0</v>
      </c>
      <c r="AA128" s="3">
        <v>0</v>
      </c>
      <c r="AC128" s="3">
        <v>53042.47</v>
      </c>
      <c r="AE128" s="3">
        <v>144830.81</v>
      </c>
      <c r="AG128" s="19">
        <f t="shared" si="3"/>
        <v>197873.28</v>
      </c>
    </row>
    <row r="129" spans="1:33" s="3" customFormat="1" ht="12">
      <c r="A129" s="3" t="s">
        <v>619</v>
      </c>
      <c r="C129" s="3" t="s">
        <v>67</v>
      </c>
      <c r="E129" s="3">
        <v>593307.39</v>
      </c>
      <c r="G129" s="3">
        <v>17131.22</v>
      </c>
      <c r="I129" s="3">
        <v>0</v>
      </c>
      <c r="K129" s="3">
        <v>0</v>
      </c>
      <c r="M129" s="3">
        <v>-576176.17</v>
      </c>
      <c r="O129" s="3">
        <v>0</v>
      </c>
      <c r="Q129" s="3">
        <v>568294.12</v>
      </c>
      <c r="S129" s="3">
        <v>1313.96</v>
      </c>
      <c r="U129" s="3">
        <v>6316.48</v>
      </c>
      <c r="W129" s="3">
        <v>0</v>
      </c>
      <c r="Y129" s="3">
        <v>0</v>
      </c>
      <c r="AA129" s="3">
        <v>0</v>
      </c>
      <c r="AC129" s="3">
        <v>-251.61</v>
      </c>
      <c r="AE129" s="3">
        <v>133247.58</v>
      </c>
      <c r="AG129" s="19">
        <f t="shared" si="3"/>
        <v>132995.97</v>
      </c>
    </row>
    <row r="130" spans="1:34" s="3" customFormat="1" ht="12.75">
      <c r="A130" s="31" t="s">
        <v>487</v>
      </c>
      <c r="B130" s="31"/>
      <c r="C130" s="31" t="s">
        <v>17</v>
      </c>
      <c r="D130" s="16"/>
      <c r="E130" s="19">
        <v>904746</v>
      </c>
      <c r="F130" s="19"/>
      <c r="G130" s="19">
        <v>0</v>
      </c>
      <c r="H130" s="19"/>
      <c r="I130" s="19">
        <v>1637946</v>
      </c>
      <c r="J130" s="19"/>
      <c r="K130" s="19">
        <v>0</v>
      </c>
      <c r="L130" s="19"/>
      <c r="M130" s="19">
        <v>-559701</v>
      </c>
      <c r="N130" s="19"/>
      <c r="O130" s="19">
        <v>268067</v>
      </c>
      <c r="P130" s="19"/>
      <c r="Q130" s="19">
        <v>0</v>
      </c>
      <c r="R130" s="19"/>
      <c r="S130" s="19">
        <v>43864</v>
      </c>
      <c r="T130" s="19"/>
      <c r="U130" s="19">
        <f>40302+15048</f>
        <v>55350</v>
      </c>
      <c r="V130" s="19"/>
      <c r="W130" s="19">
        <v>0</v>
      </c>
      <c r="X130" s="19"/>
      <c r="Y130" s="19">
        <v>30058</v>
      </c>
      <c r="Z130" s="19"/>
      <c r="AA130" s="19">
        <v>-30058</v>
      </c>
      <c r="AB130" s="19"/>
      <c r="AC130" s="19">
        <v>-192420</v>
      </c>
      <c r="AD130" s="19"/>
      <c r="AE130" s="19">
        <v>1052503</v>
      </c>
      <c r="AF130" s="19"/>
      <c r="AG130" s="19">
        <f t="shared" si="3"/>
        <v>860083</v>
      </c>
      <c r="AH130" s="10"/>
    </row>
    <row r="131" spans="1:34" s="3" customFormat="1" ht="12.75">
      <c r="A131" s="16" t="s">
        <v>234</v>
      </c>
      <c r="B131" s="16"/>
      <c r="C131" s="16" t="s">
        <v>235</v>
      </c>
      <c r="D131" s="16"/>
      <c r="E131" s="19">
        <v>4639192</v>
      </c>
      <c r="F131" s="19"/>
      <c r="G131" s="19">
        <v>112375</v>
      </c>
      <c r="H131" s="19"/>
      <c r="I131" s="19">
        <v>87179</v>
      </c>
      <c r="J131" s="19"/>
      <c r="K131" s="19">
        <v>0</v>
      </c>
      <c r="L131" s="19"/>
      <c r="M131" s="19">
        <v>-3659662</v>
      </c>
      <c r="N131" s="19"/>
      <c r="O131" s="19">
        <v>0</v>
      </c>
      <c r="P131" s="19"/>
      <c r="Q131" s="19">
        <v>3147987</v>
      </c>
      <c r="R131" s="19"/>
      <c r="S131" s="19">
        <v>234630</v>
      </c>
      <c r="T131" s="19"/>
      <c r="U131" s="19">
        <f>8125+11606</f>
        <v>19731</v>
      </c>
      <c r="V131" s="19"/>
      <c r="W131" s="19">
        <v>0</v>
      </c>
      <c r="X131" s="19"/>
      <c r="Y131" s="19">
        <v>0</v>
      </c>
      <c r="Z131" s="19"/>
      <c r="AA131" s="19">
        <v>0</v>
      </c>
      <c r="AB131" s="19"/>
      <c r="AC131" s="19">
        <v>-186527</v>
      </c>
      <c r="AD131" s="19"/>
      <c r="AE131" s="19">
        <v>4825719</v>
      </c>
      <c r="AF131" s="19"/>
      <c r="AG131" s="19">
        <f t="shared" si="3"/>
        <v>4639192</v>
      </c>
      <c r="AH131" s="10"/>
    </row>
    <row r="132" spans="1:33" s="3" customFormat="1" ht="12">
      <c r="A132" s="3" t="s">
        <v>436</v>
      </c>
      <c r="C132" s="3" t="s">
        <v>68</v>
      </c>
      <c r="E132" s="3">
        <v>450861.25</v>
      </c>
      <c r="G132" s="3">
        <v>11924.78</v>
      </c>
      <c r="I132" s="3">
        <v>0</v>
      </c>
      <c r="K132" s="3">
        <v>0</v>
      </c>
      <c r="M132" s="3">
        <v>-438936.47</v>
      </c>
      <c r="O132" s="3">
        <v>0</v>
      </c>
      <c r="Q132" s="3">
        <v>404601.67</v>
      </c>
      <c r="S132" s="3">
        <v>49168.85</v>
      </c>
      <c r="U132" s="3">
        <v>734.99</v>
      </c>
      <c r="W132" s="3">
        <v>0</v>
      </c>
      <c r="Y132" s="3">
        <v>0</v>
      </c>
      <c r="AA132" s="3">
        <v>5000</v>
      </c>
      <c r="AC132" s="3">
        <v>20569.04</v>
      </c>
      <c r="AE132" s="3">
        <v>288693.78</v>
      </c>
      <c r="AG132" s="19">
        <f t="shared" si="3"/>
        <v>309262.82</v>
      </c>
    </row>
    <row r="133" spans="1:34" s="3" customFormat="1" ht="12.75">
      <c r="A133" s="13" t="s">
        <v>247</v>
      </c>
      <c r="B133" s="16"/>
      <c r="C133" s="16" t="s">
        <v>26</v>
      </c>
      <c r="D133" s="16"/>
      <c r="E133" s="19">
        <v>168034</v>
      </c>
      <c r="F133" s="19"/>
      <c r="G133" s="19">
        <v>87340</v>
      </c>
      <c r="H133" s="19"/>
      <c r="I133" s="19">
        <v>25757</v>
      </c>
      <c r="J133" s="19"/>
      <c r="K133" s="19">
        <v>62433</v>
      </c>
      <c r="L133" s="19"/>
      <c r="M133" s="19">
        <v>-1668569</v>
      </c>
      <c r="N133" s="19"/>
      <c r="O133" s="19">
        <v>183098</v>
      </c>
      <c r="P133" s="19"/>
      <c r="Q133" s="19">
        <v>1566944</v>
      </c>
      <c r="R133" s="19"/>
      <c r="S133" s="19">
        <v>41502</v>
      </c>
      <c r="T133" s="19"/>
      <c r="U133" s="19">
        <f>41502+2383</f>
        <v>43885</v>
      </c>
      <c r="V133" s="19"/>
      <c r="W133" s="19">
        <v>0</v>
      </c>
      <c r="X133" s="19"/>
      <c r="Y133" s="19">
        <v>0</v>
      </c>
      <c r="Z133" s="19"/>
      <c r="AA133" s="19">
        <v>0</v>
      </c>
      <c r="AB133" s="19"/>
      <c r="AC133" s="19">
        <v>126147</v>
      </c>
      <c r="AD133" s="19"/>
      <c r="AE133" s="19">
        <v>742720</v>
      </c>
      <c r="AF133" s="19"/>
      <c r="AG133" s="19">
        <f t="shared" si="3"/>
        <v>868867</v>
      </c>
      <c r="AH133" s="10"/>
    </row>
    <row r="134" spans="1:33" s="3" customFormat="1" ht="12">
      <c r="A134" s="3" t="s">
        <v>437</v>
      </c>
      <c r="C134" s="3" t="s">
        <v>23</v>
      </c>
      <c r="E134" s="3">
        <v>510126.72</v>
      </c>
      <c r="G134" s="3">
        <v>6639.48</v>
      </c>
      <c r="I134" s="3">
        <v>0</v>
      </c>
      <c r="K134" s="3">
        <v>0</v>
      </c>
      <c r="M134" s="3">
        <v>-503487.24</v>
      </c>
      <c r="O134" s="3">
        <v>125680.49</v>
      </c>
      <c r="Q134" s="3">
        <v>389319.62</v>
      </c>
      <c r="S134" s="3">
        <v>2224.31</v>
      </c>
      <c r="U134" s="3">
        <v>0</v>
      </c>
      <c r="W134" s="3">
        <v>0</v>
      </c>
      <c r="Y134" s="3">
        <v>0</v>
      </c>
      <c r="AA134" s="3">
        <v>0</v>
      </c>
      <c r="AC134" s="3">
        <v>13737.18</v>
      </c>
      <c r="AE134" s="3">
        <v>200080.28</v>
      </c>
      <c r="AG134" s="19">
        <f t="shared" si="3"/>
        <v>213817.46</v>
      </c>
    </row>
    <row r="135" spans="1:33" s="3" customFormat="1" ht="12">
      <c r="A135" s="3" t="s">
        <v>620</v>
      </c>
      <c r="C135" s="3" t="s">
        <v>69</v>
      </c>
      <c r="E135" s="3">
        <v>1474649.88</v>
      </c>
      <c r="G135" s="3">
        <v>34252.71</v>
      </c>
      <c r="I135" s="3">
        <v>44461</v>
      </c>
      <c r="K135" s="3">
        <v>0</v>
      </c>
      <c r="M135" s="3">
        <v>-1395936.17</v>
      </c>
      <c r="O135" s="3">
        <v>115296.62</v>
      </c>
      <c r="Q135" s="3">
        <v>1099672.11</v>
      </c>
      <c r="S135" s="3">
        <v>8296.85</v>
      </c>
      <c r="U135" s="3">
        <v>51104.67</v>
      </c>
      <c r="W135" s="3">
        <v>0</v>
      </c>
      <c r="Y135" s="3">
        <v>0</v>
      </c>
      <c r="AA135" s="3">
        <v>0</v>
      </c>
      <c r="AC135" s="3">
        <v>-121565.92</v>
      </c>
      <c r="AE135" s="3">
        <v>302435.51</v>
      </c>
      <c r="AG135" s="19">
        <f t="shared" si="3"/>
        <v>180869.59000000003</v>
      </c>
    </row>
    <row r="136" spans="1:34" s="3" customFormat="1" ht="12.75">
      <c r="A136" s="13" t="s">
        <v>504</v>
      </c>
      <c r="B136" s="16"/>
      <c r="C136" s="16" t="s">
        <v>266</v>
      </c>
      <c r="D136" s="16"/>
      <c r="E136" s="19">
        <v>15781852</v>
      </c>
      <c r="F136" s="19"/>
      <c r="G136" s="19">
        <v>61793</v>
      </c>
      <c r="H136" s="19"/>
      <c r="I136" s="19">
        <v>1955</v>
      </c>
      <c r="J136" s="19"/>
      <c r="K136" s="19">
        <v>605000</v>
      </c>
      <c r="L136" s="19"/>
      <c r="M136" s="19">
        <v>-1301414</v>
      </c>
      <c r="N136" s="19"/>
      <c r="O136" s="19">
        <v>0</v>
      </c>
      <c r="P136" s="19"/>
      <c r="Q136" s="19">
        <v>1854662</v>
      </c>
      <c r="R136" s="19"/>
      <c r="S136" s="19">
        <v>742170</v>
      </c>
      <c r="T136" s="19"/>
      <c r="U136" s="19">
        <f>200097+5844</f>
        <v>205941</v>
      </c>
      <c r="V136" s="19"/>
      <c r="W136" s="19">
        <v>0</v>
      </c>
      <c r="X136" s="19"/>
      <c r="Y136" s="19">
        <v>0</v>
      </c>
      <c r="Z136" s="19"/>
      <c r="AA136" s="19">
        <v>0</v>
      </c>
      <c r="AB136" s="19"/>
      <c r="AC136" s="19">
        <v>1501359</v>
      </c>
      <c r="AD136" s="19"/>
      <c r="AE136" s="19">
        <v>14280493</v>
      </c>
      <c r="AF136" s="19"/>
      <c r="AG136" s="19">
        <f t="shared" si="3"/>
        <v>15781852</v>
      </c>
      <c r="AH136" s="10"/>
    </row>
    <row r="137" spans="1:33" s="3" customFormat="1" ht="12">
      <c r="A137" s="3" t="s">
        <v>439</v>
      </c>
      <c r="C137" s="3" t="s">
        <v>13</v>
      </c>
      <c r="E137" s="3">
        <v>475432.15</v>
      </c>
      <c r="G137" s="3">
        <v>21991.04</v>
      </c>
      <c r="I137" s="3">
        <v>0</v>
      </c>
      <c r="K137" s="3">
        <v>0</v>
      </c>
      <c r="M137" s="3">
        <v>-453441.11</v>
      </c>
      <c r="O137" s="3">
        <v>0</v>
      </c>
      <c r="Q137" s="3">
        <v>439777.11</v>
      </c>
      <c r="S137" s="3">
        <v>5428.44</v>
      </c>
      <c r="U137" s="3">
        <v>7842.26</v>
      </c>
      <c r="W137" s="3">
        <v>0</v>
      </c>
      <c r="Y137" s="3">
        <v>0</v>
      </c>
      <c r="AA137" s="3">
        <v>0</v>
      </c>
      <c r="AC137" s="3">
        <v>-393.3</v>
      </c>
      <c r="AE137" s="3">
        <v>111961.06</v>
      </c>
      <c r="AG137" s="19">
        <f t="shared" si="3"/>
        <v>111567.76</v>
      </c>
    </row>
    <row r="138" spans="1:34" s="3" customFormat="1" ht="12.75">
      <c r="A138" s="31" t="s">
        <v>506</v>
      </c>
      <c r="B138" s="31"/>
      <c r="C138" s="31" t="s">
        <v>507</v>
      </c>
      <c r="D138" s="16"/>
      <c r="E138" s="19">
        <v>25813706</v>
      </c>
      <c r="F138" s="19"/>
      <c r="G138" s="19">
        <v>1949231</v>
      </c>
      <c r="H138" s="19"/>
      <c r="I138" s="19">
        <v>1826542</v>
      </c>
      <c r="J138" s="19"/>
      <c r="K138" s="19">
        <v>0</v>
      </c>
      <c r="L138" s="19"/>
      <c r="M138" s="19">
        <v>-51939668</v>
      </c>
      <c r="N138" s="19"/>
      <c r="O138" s="19">
        <v>0</v>
      </c>
      <c r="P138" s="19"/>
      <c r="Q138" s="19">
        <v>49289425</v>
      </c>
      <c r="R138" s="19"/>
      <c r="S138" s="19">
        <v>1171249</v>
      </c>
      <c r="T138" s="19"/>
      <c r="U138" s="19">
        <f>80412+784376+87644+3553</f>
        <v>955985</v>
      </c>
      <c r="V138" s="19"/>
      <c r="W138" s="19">
        <v>0</v>
      </c>
      <c r="X138" s="19"/>
      <c r="Y138" s="19">
        <v>0</v>
      </c>
      <c r="Z138" s="19"/>
      <c r="AA138" s="19">
        <v>0</v>
      </c>
      <c r="AB138" s="19"/>
      <c r="AC138" s="19">
        <v>-523009</v>
      </c>
      <c r="AD138" s="19"/>
      <c r="AE138" s="19">
        <v>141621808</v>
      </c>
      <c r="AF138" s="19"/>
      <c r="AG138" s="19">
        <f t="shared" si="3"/>
        <v>141098799</v>
      </c>
      <c r="AH138" s="10"/>
    </row>
    <row r="139" spans="1:33" s="3" customFormat="1" ht="12">
      <c r="A139" s="3" t="s">
        <v>442</v>
      </c>
      <c r="C139" s="3" t="s">
        <v>49</v>
      </c>
      <c r="E139" s="3">
        <v>609458.15</v>
      </c>
      <c r="G139" s="3">
        <v>22269.65</v>
      </c>
      <c r="I139" s="3">
        <v>0</v>
      </c>
      <c r="K139" s="3">
        <v>0</v>
      </c>
      <c r="M139" s="3">
        <v>-587188.5</v>
      </c>
      <c r="O139" s="3">
        <v>0</v>
      </c>
      <c r="Q139" s="3">
        <v>571290.58</v>
      </c>
      <c r="S139" s="3">
        <v>7615.34</v>
      </c>
      <c r="U139" s="3">
        <v>20436.74</v>
      </c>
      <c r="W139" s="3">
        <v>0</v>
      </c>
      <c r="Y139" s="3">
        <v>0</v>
      </c>
      <c r="AA139" s="3">
        <v>0</v>
      </c>
      <c r="AC139" s="3">
        <v>12154.16</v>
      </c>
      <c r="AE139" s="3">
        <v>194928.23</v>
      </c>
      <c r="AG139" s="19">
        <f t="shared" si="3"/>
        <v>207082.39</v>
      </c>
    </row>
    <row r="140" spans="1:33" s="3" customFormat="1" ht="12">
      <c r="A140" s="3" t="s">
        <v>443</v>
      </c>
      <c r="C140" s="3" t="s">
        <v>64</v>
      </c>
      <c r="E140" s="3">
        <v>134120.36</v>
      </c>
      <c r="G140" s="3">
        <v>1654.68</v>
      </c>
      <c r="I140" s="3">
        <v>0</v>
      </c>
      <c r="K140" s="3">
        <v>0</v>
      </c>
      <c r="M140" s="3">
        <v>-132465.68</v>
      </c>
      <c r="O140" s="3">
        <v>17304.18</v>
      </c>
      <c r="Q140" s="3">
        <v>110469.85</v>
      </c>
      <c r="S140" s="3">
        <v>1237.58</v>
      </c>
      <c r="U140" s="3">
        <v>1359.2</v>
      </c>
      <c r="W140" s="3">
        <v>0</v>
      </c>
      <c r="Y140" s="3">
        <v>0</v>
      </c>
      <c r="AA140" s="3">
        <v>0</v>
      </c>
      <c r="AC140" s="3">
        <v>-2094.87</v>
      </c>
      <c r="AE140" s="3">
        <v>81119.48</v>
      </c>
      <c r="AG140" s="19">
        <f t="shared" si="3"/>
        <v>79024.61</v>
      </c>
    </row>
    <row r="141" spans="1:33" s="3" customFormat="1" ht="12">
      <c r="A141" s="3" t="s">
        <v>276</v>
      </c>
      <c r="C141" s="3" t="s">
        <v>182</v>
      </c>
      <c r="E141" s="3">
        <v>1151158.68</v>
      </c>
      <c r="G141" s="3">
        <v>56144.16</v>
      </c>
      <c r="I141" s="3">
        <v>0</v>
      </c>
      <c r="K141" s="3">
        <v>0</v>
      </c>
      <c r="M141" s="3">
        <v>-1095014.52</v>
      </c>
      <c r="O141" s="3">
        <v>323434.16</v>
      </c>
      <c r="Q141" s="3">
        <v>637805.15</v>
      </c>
      <c r="S141" s="3">
        <v>151247.81</v>
      </c>
      <c r="U141" s="3">
        <v>2744.14</v>
      </c>
      <c r="W141" s="3">
        <v>0</v>
      </c>
      <c r="Y141" s="3">
        <v>-2000</v>
      </c>
      <c r="AA141" s="3">
        <v>0</v>
      </c>
      <c r="AC141" s="3">
        <v>18216.74</v>
      </c>
      <c r="AE141" s="3">
        <v>2658073.08</v>
      </c>
      <c r="AG141" s="19">
        <f t="shared" si="3"/>
        <v>2676289.8200000003</v>
      </c>
    </row>
    <row r="142" s="3" customFormat="1" ht="12">
      <c r="AG142" s="22" t="s">
        <v>8</v>
      </c>
    </row>
    <row r="143" spans="1:33" s="4" customFormat="1" ht="12">
      <c r="A143" s="4" t="s">
        <v>618</v>
      </c>
      <c r="C143" s="4" t="s">
        <v>53</v>
      </c>
      <c r="E143" s="4">
        <v>224409.32</v>
      </c>
      <c r="G143" s="4">
        <v>3473.03</v>
      </c>
      <c r="I143" s="4">
        <v>0</v>
      </c>
      <c r="K143" s="4">
        <v>0</v>
      </c>
      <c r="M143" s="4">
        <v>-220936.29</v>
      </c>
      <c r="O143" s="4">
        <v>0</v>
      </c>
      <c r="Q143" s="4">
        <v>192637.82</v>
      </c>
      <c r="S143" s="4">
        <v>548.45</v>
      </c>
      <c r="U143" s="4">
        <v>424.19</v>
      </c>
      <c r="W143" s="4">
        <v>0</v>
      </c>
      <c r="Y143" s="4">
        <v>0</v>
      </c>
      <c r="AA143" s="4">
        <v>0</v>
      </c>
      <c r="AC143" s="4">
        <v>-27325.83</v>
      </c>
      <c r="AE143" s="4">
        <v>70687.26</v>
      </c>
      <c r="AG143" s="50">
        <f aca="true" t="shared" si="4" ref="AG143:AG161">AE143+AC143</f>
        <v>43361.42999999999</v>
      </c>
    </row>
    <row r="144" spans="1:33" s="3" customFormat="1" ht="12">
      <c r="A144" s="3" t="s">
        <v>623</v>
      </c>
      <c r="C144" s="3" t="s">
        <v>65</v>
      </c>
      <c r="E144" s="3">
        <v>370558.05</v>
      </c>
      <c r="G144" s="3">
        <v>13478.56</v>
      </c>
      <c r="I144" s="3">
        <v>6633.27</v>
      </c>
      <c r="K144" s="3">
        <v>0</v>
      </c>
      <c r="M144" s="3">
        <v>-350446.22</v>
      </c>
      <c r="O144" s="3">
        <v>0</v>
      </c>
      <c r="Q144" s="3">
        <v>313522.34</v>
      </c>
      <c r="S144" s="3">
        <v>17853.89</v>
      </c>
      <c r="U144" s="3">
        <v>3158.43</v>
      </c>
      <c r="W144" s="3">
        <v>0</v>
      </c>
      <c r="Y144" s="3">
        <v>0</v>
      </c>
      <c r="AA144" s="3">
        <v>0</v>
      </c>
      <c r="AC144" s="3">
        <v>-15911.56</v>
      </c>
      <c r="AE144" s="3">
        <v>368849.17</v>
      </c>
      <c r="AG144" s="19">
        <f t="shared" si="4"/>
        <v>352937.61</v>
      </c>
    </row>
    <row r="145" spans="1:33" s="3" customFormat="1" ht="12">
      <c r="A145" s="3" t="s">
        <v>447</v>
      </c>
      <c r="C145" s="3" t="s">
        <v>71</v>
      </c>
      <c r="E145" s="3">
        <v>309422.41</v>
      </c>
      <c r="G145" s="3">
        <v>13335.02</v>
      </c>
      <c r="I145" s="3">
        <v>0</v>
      </c>
      <c r="K145" s="3">
        <v>0</v>
      </c>
      <c r="M145" s="3">
        <v>-296087.39</v>
      </c>
      <c r="O145" s="3">
        <v>0</v>
      </c>
      <c r="Q145" s="3">
        <v>272443.32</v>
      </c>
      <c r="S145" s="3">
        <v>12038.18</v>
      </c>
      <c r="U145" s="3">
        <v>0</v>
      </c>
      <c r="W145" s="3">
        <v>0</v>
      </c>
      <c r="Y145" s="3">
        <v>-12</v>
      </c>
      <c r="AA145" s="3">
        <v>0</v>
      </c>
      <c r="AC145" s="3">
        <v>-11617.89</v>
      </c>
      <c r="AE145" s="3">
        <v>237059.08</v>
      </c>
      <c r="AG145" s="19">
        <f t="shared" si="4"/>
        <v>225441.19</v>
      </c>
    </row>
    <row r="146" spans="1:33" s="3" customFormat="1" ht="12">
      <c r="A146" s="3" t="s">
        <v>449</v>
      </c>
      <c r="C146" s="3" t="s">
        <v>47</v>
      </c>
      <c r="E146" s="3">
        <v>595339.32</v>
      </c>
      <c r="G146" s="3">
        <v>11179.73</v>
      </c>
      <c r="I146" s="3">
        <v>1160</v>
      </c>
      <c r="K146" s="3">
        <v>0</v>
      </c>
      <c r="M146" s="3">
        <v>-582999.59</v>
      </c>
      <c r="O146" s="3">
        <v>0</v>
      </c>
      <c r="Q146" s="3">
        <v>542860.84</v>
      </c>
      <c r="S146" s="3">
        <v>5503.9</v>
      </c>
      <c r="U146" s="3">
        <v>1845.15</v>
      </c>
      <c r="W146" s="3">
        <v>0</v>
      </c>
      <c r="Y146" s="3">
        <v>0</v>
      </c>
      <c r="AA146" s="3">
        <v>0</v>
      </c>
      <c r="AC146" s="3">
        <v>-32789.7</v>
      </c>
      <c r="AE146" s="3">
        <v>161385.41</v>
      </c>
      <c r="AG146" s="19">
        <f t="shared" si="4"/>
        <v>128595.71</v>
      </c>
    </row>
    <row r="147" spans="1:33" s="3" customFormat="1" ht="12">
      <c r="A147" s="3" t="s">
        <v>450</v>
      </c>
      <c r="C147" s="3" t="s">
        <v>14</v>
      </c>
      <c r="E147" s="3">
        <v>501922.54</v>
      </c>
      <c r="G147" s="3">
        <v>11098.77</v>
      </c>
      <c r="I147" s="3">
        <v>13178.52</v>
      </c>
      <c r="K147" s="3">
        <v>0</v>
      </c>
      <c r="M147" s="3">
        <v>-477645.25</v>
      </c>
      <c r="O147" s="3">
        <v>0</v>
      </c>
      <c r="Q147" s="3">
        <v>514577.46</v>
      </c>
      <c r="S147" s="3">
        <v>34488.49</v>
      </c>
      <c r="U147" s="3">
        <v>4113.51</v>
      </c>
      <c r="W147" s="3">
        <v>0</v>
      </c>
      <c r="Y147" s="3">
        <v>0</v>
      </c>
      <c r="AA147" s="3">
        <v>0</v>
      </c>
      <c r="AC147" s="3">
        <v>75534.21</v>
      </c>
      <c r="AE147" s="3">
        <v>662596.96</v>
      </c>
      <c r="AG147" s="19">
        <f t="shared" si="4"/>
        <v>738131.1699999999</v>
      </c>
    </row>
    <row r="148" spans="1:34" s="3" customFormat="1" ht="12.75">
      <c r="A148" s="13" t="s">
        <v>293</v>
      </c>
      <c r="B148" s="16"/>
      <c r="C148" s="16" t="s">
        <v>26</v>
      </c>
      <c r="D148" s="16"/>
      <c r="E148" s="19">
        <v>1438843</v>
      </c>
      <c r="F148" s="19"/>
      <c r="G148" s="19">
        <v>311867</v>
      </c>
      <c r="H148" s="19"/>
      <c r="I148" s="19">
        <v>22369</v>
      </c>
      <c r="J148" s="19"/>
      <c r="K148" s="19">
        <v>282071</v>
      </c>
      <c r="L148" s="19"/>
      <c r="M148" s="19">
        <v>-15284666</v>
      </c>
      <c r="N148" s="19"/>
      <c r="O148" s="19">
        <v>4242927</v>
      </c>
      <c r="P148" s="19"/>
      <c r="Q148" s="19">
        <f>8292565+691206</f>
        <v>8983771</v>
      </c>
      <c r="R148" s="19"/>
      <c r="S148" s="19">
        <v>201203</v>
      </c>
      <c r="T148" s="19"/>
      <c r="U148" s="19">
        <f>7186+50858</f>
        <v>58044</v>
      </c>
      <c r="V148" s="19"/>
      <c r="W148" s="19">
        <v>0</v>
      </c>
      <c r="X148" s="19"/>
      <c r="Y148" s="19">
        <v>0</v>
      </c>
      <c r="Z148" s="19"/>
      <c r="AA148" s="19">
        <v>262054</v>
      </c>
      <c r="AB148" s="19"/>
      <c r="AC148" s="19">
        <v>-1536667</v>
      </c>
      <c r="AD148" s="19"/>
      <c r="AE148" s="19">
        <v>4827442</v>
      </c>
      <c r="AF148" s="19"/>
      <c r="AG148" s="19">
        <f t="shared" si="4"/>
        <v>3290775</v>
      </c>
      <c r="AH148" s="10"/>
    </row>
    <row r="149" spans="1:34" s="3" customFormat="1" ht="12.75">
      <c r="A149" s="31" t="s">
        <v>296</v>
      </c>
      <c r="B149" s="31"/>
      <c r="C149" s="31" t="s">
        <v>23</v>
      </c>
      <c r="D149" s="16"/>
      <c r="E149" s="19">
        <v>824296</v>
      </c>
      <c r="F149" s="19"/>
      <c r="G149" s="19">
        <v>79519</v>
      </c>
      <c r="H149" s="19"/>
      <c r="I149" s="19">
        <v>0</v>
      </c>
      <c r="J149" s="19"/>
      <c r="K149" s="19">
        <v>0</v>
      </c>
      <c r="L149" s="19"/>
      <c r="M149" s="19">
        <v>-2279810</v>
      </c>
      <c r="N149" s="19"/>
      <c r="O149" s="19">
        <v>907167</v>
      </c>
      <c r="P149" s="19"/>
      <c r="Q149" s="19">
        <v>1372804</v>
      </c>
      <c r="R149" s="19"/>
      <c r="S149" s="19">
        <v>48976</v>
      </c>
      <c r="T149" s="19"/>
      <c r="U149" s="19">
        <f>6885+2966</f>
        <v>9851</v>
      </c>
      <c r="V149" s="19"/>
      <c r="W149" s="19">
        <v>0</v>
      </c>
      <c r="X149" s="19"/>
      <c r="Y149" s="19">
        <v>0</v>
      </c>
      <c r="Z149" s="19"/>
      <c r="AA149" s="19">
        <v>0</v>
      </c>
      <c r="AB149" s="19"/>
      <c r="AC149" s="19">
        <v>58988</v>
      </c>
      <c r="AD149" s="19"/>
      <c r="AE149" s="19">
        <v>765309</v>
      </c>
      <c r="AF149" s="19"/>
      <c r="AG149" s="19">
        <f t="shared" si="4"/>
        <v>824297</v>
      </c>
      <c r="AH149" s="10"/>
    </row>
    <row r="150" spans="1:34" s="3" customFormat="1" ht="12.75">
      <c r="A150" s="31" t="s">
        <v>509</v>
      </c>
      <c r="B150" s="31"/>
      <c r="C150" s="31" t="s">
        <v>56</v>
      </c>
      <c r="D150" s="16"/>
      <c r="E150" s="19">
        <v>531026</v>
      </c>
      <c r="F150" s="19"/>
      <c r="G150" s="19">
        <v>17306</v>
      </c>
      <c r="H150" s="19"/>
      <c r="I150" s="19">
        <v>15086</v>
      </c>
      <c r="J150" s="19"/>
      <c r="K150" s="19">
        <v>0</v>
      </c>
      <c r="L150" s="19"/>
      <c r="M150" s="19">
        <v>-653935</v>
      </c>
      <c r="N150" s="19"/>
      <c r="O150" s="19">
        <v>0</v>
      </c>
      <c r="P150" s="19"/>
      <c r="Q150" s="19">
        <v>580154</v>
      </c>
      <c r="R150" s="19"/>
      <c r="S150" s="19">
        <v>23128</v>
      </c>
      <c r="T150" s="19"/>
      <c r="U150" s="19">
        <f>10438+983</f>
        <v>11421</v>
      </c>
      <c r="V150" s="19"/>
      <c r="W150" s="19">
        <v>0</v>
      </c>
      <c r="X150" s="19"/>
      <c r="Y150" s="19">
        <v>0</v>
      </c>
      <c r="Z150" s="19"/>
      <c r="AA150" s="19">
        <v>170481</v>
      </c>
      <c r="AB150" s="19"/>
      <c r="AC150" s="19">
        <v>131249</v>
      </c>
      <c r="AD150" s="19"/>
      <c r="AE150" s="19">
        <v>399776</v>
      </c>
      <c r="AF150" s="19"/>
      <c r="AG150" s="19">
        <f t="shared" si="4"/>
        <v>531025</v>
      </c>
      <c r="AH150" s="10"/>
    </row>
    <row r="151" spans="1:34" s="3" customFormat="1" ht="12.75">
      <c r="A151" s="31" t="s">
        <v>301</v>
      </c>
      <c r="B151" s="31"/>
      <c r="C151" s="31" t="s">
        <v>366</v>
      </c>
      <c r="D151" s="16"/>
      <c r="E151" s="19">
        <v>9474654</v>
      </c>
      <c r="F151" s="19"/>
      <c r="G151" s="19">
        <v>957701</v>
      </c>
      <c r="H151" s="19"/>
      <c r="I151" s="19">
        <v>92070</v>
      </c>
      <c r="J151" s="19"/>
      <c r="K151" s="19">
        <v>0</v>
      </c>
      <c r="L151" s="19"/>
      <c r="M151" s="19">
        <v>-34612638</v>
      </c>
      <c r="N151" s="19"/>
      <c r="O151" s="19">
        <v>12683803</v>
      </c>
      <c r="P151" s="19"/>
      <c r="Q151" s="19">
        <v>21146308</v>
      </c>
      <c r="R151" s="19"/>
      <c r="S151" s="19">
        <v>534221</v>
      </c>
      <c r="T151" s="19"/>
      <c r="U151" s="19">
        <f>72436+220275</f>
        <v>292711</v>
      </c>
      <c r="V151" s="19"/>
      <c r="W151" s="19">
        <v>0</v>
      </c>
      <c r="X151" s="19"/>
      <c r="Y151" s="19">
        <v>0</v>
      </c>
      <c r="Z151" s="19"/>
      <c r="AA151" s="19">
        <v>0</v>
      </c>
      <c r="AB151" s="19"/>
      <c r="AC151" s="19">
        <v>44405</v>
      </c>
      <c r="AD151" s="19"/>
      <c r="AE151" s="19">
        <v>94093598</v>
      </c>
      <c r="AF151" s="19"/>
      <c r="AG151" s="19">
        <f t="shared" si="4"/>
        <v>94138003</v>
      </c>
      <c r="AH151" s="10"/>
    </row>
    <row r="152" spans="1:34" s="3" customFormat="1" ht="12.75">
      <c r="A152" s="31" t="s">
        <v>510</v>
      </c>
      <c r="B152" s="31"/>
      <c r="C152" s="31" t="s">
        <v>56</v>
      </c>
      <c r="D152" s="16"/>
      <c r="E152" s="19">
        <v>1480802</v>
      </c>
      <c r="F152" s="19"/>
      <c r="G152" s="19">
        <v>47809</v>
      </c>
      <c r="H152" s="19"/>
      <c r="I152" s="19">
        <v>30643</v>
      </c>
      <c r="J152" s="19"/>
      <c r="K152" s="19">
        <v>0</v>
      </c>
      <c r="L152" s="19"/>
      <c r="M152" s="19">
        <v>-1568618</v>
      </c>
      <c r="N152" s="19"/>
      <c r="O152" s="19">
        <v>0</v>
      </c>
      <c r="P152" s="19"/>
      <c r="Q152" s="19">
        <f>1541891</f>
        <v>1541891</v>
      </c>
      <c r="R152" s="19"/>
      <c r="S152" s="19">
        <v>68018</v>
      </c>
      <c r="T152" s="19"/>
      <c r="U152" s="19">
        <f>115513+4654</f>
        <v>120167</v>
      </c>
      <c r="V152" s="19"/>
      <c r="W152" s="19">
        <v>0</v>
      </c>
      <c r="X152" s="19"/>
      <c r="Y152" s="19">
        <v>0</v>
      </c>
      <c r="Z152" s="19"/>
      <c r="AA152" s="19">
        <v>0</v>
      </c>
      <c r="AB152" s="19"/>
      <c r="AC152" s="19">
        <v>161458</v>
      </c>
      <c r="AD152" s="19"/>
      <c r="AE152" s="19">
        <v>1319344</v>
      </c>
      <c r="AF152" s="19"/>
      <c r="AG152" s="19">
        <f t="shared" si="4"/>
        <v>1480802</v>
      </c>
      <c r="AH152" s="10"/>
    </row>
    <row r="153" spans="1:34" s="3" customFormat="1" ht="12.75">
      <c r="A153" s="31" t="s">
        <v>303</v>
      </c>
      <c r="B153" s="31"/>
      <c r="C153" s="31" t="s">
        <v>27</v>
      </c>
      <c r="D153" s="16"/>
      <c r="E153" s="19">
        <v>583483</v>
      </c>
      <c r="F153" s="19"/>
      <c r="G153" s="19">
        <v>46175</v>
      </c>
      <c r="H153" s="19"/>
      <c r="I153" s="19">
        <v>0</v>
      </c>
      <c r="J153" s="19"/>
      <c r="K153" s="19">
        <v>208557</v>
      </c>
      <c r="L153" s="19"/>
      <c r="M153" s="19">
        <v>-2110974</v>
      </c>
      <c r="N153" s="19"/>
      <c r="O153" s="19">
        <f>210025+208487+1617872</f>
        <v>2036384</v>
      </c>
      <c r="P153" s="19"/>
      <c r="Q153" s="19">
        <v>0</v>
      </c>
      <c r="R153" s="19"/>
      <c r="S153" s="19">
        <v>33917</v>
      </c>
      <c r="T153" s="19"/>
      <c r="U153" s="19">
        <f>1751+260</f>
        <v>2011</v>
      </c>
      <c r="V153" s="19"/>
      <c r="W153" s="19">
        <v>0</v>
      </c>
      <c r="X153" s="19"/>
      <c r="Y153" s="19">
        <v>0</v>
      </c>
      <c r="Z153" s="19"/>
      <c r="AA153" s="19">
        <v>1365</v>
      </c>
      <c r="AB153" s="19"/>
      <c r="AC153" s="19">
        <v>72703</v>
      </c>
      <c r="AD153" s="19"/>
      <c r="AE153" s="19">
        <v>710781</v>
      </c>
      <c r="AF153" s="19"/>
      <c r="AG153" s="19">
        <f t="shared" si="4"/>
        <v>783484</v>
      </c>
      <c r="AH153" s="10"/>
    </row>
    <row r="154" spans="1:34" s="3" customFormat="1" ht="12.75">
      <c r="A154" s="31" t="s">
        <v>367</v>
      </c>
      <c r="B154" s="31"/>
      <c r="C154" s="31" t="s">
        <v>23</v>
      </c>
      <c r="D154" s="16"/>
      <c r="E154" s="19">
        <v>172797</v>
      </c>
      <c r="F154" s="19"/>
      <c r="G154" s="19">
        <v>65549</v>
      </c>
      <c r="H154" s="19"/>
      <c r="I154" s="19">
        <v>150038</v>
      </c>
      <c r="J154" s="19"/>
      <c r="K154" s="19">
        <v>3839</v>
      </c>
      <c r="L154" s="19"/>
      <c r="M154" s="19">
        <v>-2568660</v>
      </c>
      <c r="N154" s="19"/>
      <c r="O154" s="19">
        <v>715248</v>
      </c>
      <c r="P154" s="19"/>
      <c r="Q154" s="19">
        <v>1537267</v>
      </c>
      <c r="R154" s="19"/>
      <c r="S154" s="19">
        <v>50458</v>
      </c>
      <c r="T154" s="19"/>
      <c r="U154" s="19">
        <f>740+2542</f>
        <v>3282</v>
      </c>
      <c r="V154" s="19"/>
      <c r="W154" s="19">
        <v>0</v>
      </c>
      <c r="X154" s="19"/>
      <c r="Y154" s="19">
        <v>0</v>
      </c>
      <c r="Z154" s="19"/>
      <c r="AA154" s="19">
        <v>0</v>
      </c>
      <c r="AB154" s="19"/>
      <c r="AC154" s="19">
        <v>-262404</v>
      </c>
      <c r="AD154" s="19"/>
      <c r="AE154" s="19">
        <v>956209</v>
      </c>
      <c r="AF154" s="19"/>
      <c r="AG154" s="19">
        <f t="shared" si="4"/>
        <v>693805</v>
      </c>
      <c r="AH154" s="10"/>
    </row>
    <row r="155" spans="1:34" s="3" customFormat="1" ht="12.75">
      <c r="A155" s="31" t="s">
        <v>397</v>
      </c>
      <c r="B155" s="31"/>
      <c r="C155" s="31" t="s">
        <v>28</v>
      </c>
      <c r="D155" s="16"/>
      <c r="E155" s="19">
        <v>1703115</v>
      </c>
      <c r="F155" s="19"/>
      <c r="G155" s="19">
        <v>83611</v>
      </c>
      <c r="H155" s="19"/>
      <c r="I155" s="19">
        <v>0</v>
      </c>
      <c r="J155" s="19"/>
      <c r="K155" s="19">
        <v>0</v>
      </c>
      <c r="L155" s="19"/>
      <c r="M155" s="19">
        <v>-2704873</v>
      </c>
      <c r="N155" s="19"/>
      <c r="O155" s="19">
        <v>0</v>
      </c>
      <c r="P155" s="19"/>
      <c r="Q155" s="19">
        <v>2369599</v>
      </c>
      <c r="R155" s="19"/>
      <c r="S155" s="19">
        <v>85831</v>
      </c>
      <c r="T155" s="19"/>
      <c r="U155" s="19">
        <f>13052+5546</f>
        <v>18598</v>
      </c>
      <c r="V155" s="19"/>
      <c r="W155" s="19">
        <v>0</v>
      </c>
      <c r="X155" s="19"/>
      <c r="Y155" s="19">
        <v>0</v>
      </c>
      <c r="Z155" s="19"/>
      <c r="AA155" s="19">
        <f>383-445145+445144</f>
        <v>382</v>
      </c>
      <c r="AB155" s="19"/>
      <c r="AC155" s="19">
        <v>-230462</v>
      </c>
      <c r="AD155" s="19"/>
      <c r="AE155" s="19">
        <v>1488433</v>
      </c>
      <c r="AF155" s="19"/>
      <c r="AG155" s="19">
        <f t="shared" si="4"/>
        <v>1257971</v>
      </c>
      <c r="AH155" s="10"/>
    </row>
    <row r="156" spans="1:33" s="3" customFormat="1" ht="12">
      <c r="A156" s="3" t="s">
        <v>312</v>
      </c>
      <c r="C156" s="3" t="s">
        <v>68</v>
      </c>
      <c r="E156" s="3">
        <v>1900650.58</v>
      </c>
      <c r="G156" s="3">
        <v>69772.73</v>
      </c>
      <c r="I156" s="3">
        <v>350</v>
      </c>
      <c r="K156" s="3">
        <v>0</v>
      </c>
      <c r="M156" s="3">
        <v>-1830527.85</v>
      </c>
      <c r="O156" s="3">
        <v>515635.01</v>
      </c>
      <c r="Q156" s="3">
        <v>1124968.88</v>
      </c>
      <c r="S156" s="3">
        <v>40645.05</v>
      </c>
      <c r="U156" s="3">
        <v>34733.75</v>
      </c>
      <c r="W156" s="3">
        <v>0</v>
      </c>
      <c r="Y156" s="3">
        <v>0</v>
      </c>
      <c r="AA156" s="3">
        <v>0</v>
      </c>
      <c r="AC156" s="3">
        <v>-114545.16</v>
      </c>
      <c r="AE156" s="3">
        <v>796710.71</v>
      </c>
      <c r="AG156" s="19">
        <f t="shared" si="4"/>
        <v>682165.5499999999</v>
      </c>
    </row>
    <row r="157" spans="1:33" s="3" customFormat="1" ht="12">
      <c r="A157" s="3" t="s">
        <v>42</v>
      </c>
      <c r="C157" s="3" t="s">
        <v>16</v>
      </c>
      <c r="E157" s="3">
        <v>1250765.09</v>
      </c>
      <c r="G157" s="3">
        <v>26031.99</v>
      </c>
      <c r="I157" s="3">
        <v>0</v>
      </c>
      <c r="K157" s="3">
        <v>0</v>
      </c>
      <c r="M157" s="3">
        <v>-1224733.1</v>
      </c>
      <c r="O157" s="3">
        <v>284908.14</v>
      </c>
      <c r="Q157" s="3">
        <v>882964.93</v>
      </c>
      <c r="S157" s="3">
        <v>75405.85</v>
      </c>
      <c r="U157" s="3">
        <v>13070.3</v>
      </c>
      <c r="W157" s="3">
        <v>0</v>
      </c>
      <c r="Y157" s="3">
        <v>0</v>
      </c>
      <c r="AA157" s="3">
        <v>0</v>
      </c>
      <c r="AC157" s="3">
        <v>31616.12</v>
      </c>
      <c r="AE157" s="3">
        <v>1626808.69</v>
      </c>
      <c r="AG157" s="19">
        <f t="shared" si="4"/>
        <v>1658424.81</v>
      </c>
    </row>
    <row r="158" spans="1:34" s="3" customFormat="1" ht="12.75">
      <c r="A158" s="31" t="s">
        <v>317</v>
      </c>
      <c r="B158" s="31"/>
      <c r="C158" s="31" t="s">
        <v>16</v>
      </c>
      <c r="D158" s="16"/>
      <c r="E158" s="19">
        <v>2293819</v>
      </c>
      <c r="F158" s="19"/>
      <c r="G158" s="19">
        <v>114225</v>
      </c>
      <c r="H158" s="19"/>
      <c r="I158" s="19">
        <v>0</v>
      </c>
      <c r="J158" s="19"/>
      <c r="K158" s="19">
        <v>0</v>
      </c>
      <c r="L158" s="19"/>
      <c r="M158" s="19">
        <v>-4582658</v>
      </c>
      <c r="N158" s="19"/>
      <c r="O158" s="19">
        <v>1872792</v>
      </c>
      <c r="P158" s="19"/>
      <c r="Q158" s="19">
        <f>2252713+411527</f>
        <v>2664240</v>
      </c>
      <c r="R158" s="19"/>
      <c r="S158" s="19">
        <v>123331</v>
      </c>
      <c r="T158" s="19"/>
      <c r="U158" s="19">
        <f>3584+30248</f>
        <v>33832</v>
      </c>
      <c r="V158" s="19"/>
      <c r="W158" s="19">
        <v>0</v>
      </c>
      <c r="X158" s="19"/>
      <c r="Y158" s="19">
        <v>0</v>
      </c>
      <c r="Z158" s="19"/>
      <c r="AA158" s="19">
        <v>0</v>
      </c>
      <c r="AB158" s="19"/>
      <c r="AC158" s="19">
        <v>111537</v>
      </c>
      <c r="AD158" s="19"/>
      <c r="AE158" s="19">
        <v>2182285</v>
      </c>
      <c r="AF158" s="19"/>
      <c r="AG158" s="19">
        <f t="shared" si="4"/>
        <v>2293822</v>
      </c>
      <c r="AH158" s="10"/>
    </row>
    <row r="159" spans="1:33" s="3" customFormat="1" ht="12">
      <c r="A159" s="3" t="s">
        <v>452</v>
      </c>
      <c r="C159" s="3" t="s">
        <v>72</v>
      </c>
      <c r="E159" s="3">
        <v>806646.81</v>
      </c>
      <c r="G159" s="3">
        <v>26530.47</v>
      </c>
      <c r="I159" s="3">
        <v>0</v>
      </c>
      <c r="K159" s="3">
        <v>0</v>
      </c>
      <c r="M159" s="3">
        <v>-780116.34</v>
      </c>
      <c r="O159" s="3">
        <v>0</v>
      </c>
      <c r="Q159" s="3">
        <v>708656.81</v>
      </c>
      <c r="S159" s="3">
        <v>41350.77</v>
      </c>
      <c r="U159" s="3">
        <v>7507.37</v>
      </c>
      <c r="W159" s="3">
        <v>0</v>
      </c>
      <c r="Y159" s="3">
        <v>0</v>
      </c>
      <c r="AA159" s="3">
        <v>0</v>
      </c>
      <c r="AC159" s="3">
        <v>-22601.39</v>
      </c>
      <c r="AE159" s="3">
        <v>940779.96</v>
      </c>
      <c r="AG159" s="19">
        <f t="shared" si="4"/>
        <v>918178.57</v>
      </c>
    </row>
    <row r="160" spans="1:34" s="3" customFormat="1" ht="12.75">
      <c r="A160" s="31" t="s">
        <v>322</v>
      </c>
      <c r="B160" s="31"/>
      <c r="C160" s="31" t="s">
        <v>98</v>
      </c>
      <c r="D160" s="16"/>
      <c r="E160" s="19">
        <v>10567699</v>
      </c>
      <c r="F160" s="19"/>
      <c r="G160" s="19">
        <v>1031340</v>
      </c>
      <c r="H160" s="19"/>
      <c r="I160" s="19">
        <v>0</v>
      </c>
      <c r="J160" s="19"/>
      <c r="K160" s="19">
        <v>0</v>
      </c>
      <c r="L160" s="19"/>
      <c r="M160" s="19">
        <v>-6323593</v>
      </c>
      <c r="N160" s="19"/>
      <c r="O160" s="19">
        <v>6670931</v>
      </c>
      <c r="P160" s="19"/>
      <c r="Q160" s="19">
        <v>3543453</v>
      </c>
      <c r="R160" s="19"/>
      <c r="S160" s="19">
        <v>496133</v>
      </c>
      <c r="T160" s="19"/>
      <c r="U160" s="19">
        <f>18828+4735</f>
        <v>23563</v>
      </c>
      <c r="V160" s="19"/>
      <c r="W160" s="19">
        <v>0</v>
      </c>
      <c r="X160" s="19"/>
      <c r="Y160" s="19">
        <v>0</v>
      </c>
      <c r="Z160" s="19"/>
      <c r="AA160" s="19">
        <v>0</v>
      </c>
      <c r="AB160" s="19"/>
      <c r="AC160" s="19">
        <v>4410487</v>
      </c>
      <c r="AD160" s="19"/>
      <c r="AE160" s="19">
        <v>14753199</v>
      </c>
      <c r="AF160" s="19"/>
      <c r="AG160" s="19">
        <f t="shared" si="4"/>
        <v>19163686</v>
      </c>
      <c r="AH160" s="10"/>
    </row>
    <row r="161" spans="1:33" s="3" customFormat="1" ht="12">
      <c r="A161" s="3" t="s">
        <v>323</v>
      </c>
      <c r="C161" s="3" t="s">
        <v>58</v>
      </c>
      <c r="E161" s="3">
        <v>1672002.62</v>
      </c>
      <c r="G161" s="3">
        <v>46314.83</v>
      </c>
      <c r="I161" s="3">
        <v>3050</v>
      </c>
      <c r="K161" s="3">
        <v>51136.9</v>
      </c>
      <c r="M161" s="3">
        <v>-1571500.89</v>
      </c>
      <c r="O161" s="3">
        <v>231128.63</v>
      </c>
      <c r="Q161" s="3">
        <v>1469595.26</v>
      </c>
      <c r="S161" s="3">
        <v>63145.57</v>
      </c>
      <c r="U161" s="3">
        <v>17699.22</v>
      </c>
      <c r="W161" s="3">
        <v>0</v>
      </c>
      <c r="Y161" s="3">
        <v>0</v>
      </c>
      <c r="AA161" s="3">
        <v>0</v>
      </c>
      <c r="AC161" s="3">
        <v>210067.79</v>
      </c>
      <c r="AE161" s="3">
        <v>1067709.64</v>
      </c>
      <c r="AG161" s="19">
        <f t="shared" si="4"/>
        <v>1277777.43</v>
      </c>
    </row>
    <row r="162" spans="5:33" s="54" customFormat="1" ht="12.75"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</row>
  </sheetData>
  <sheetProtection/>
  <mergeCells count="3">
    <mergeCell ref="A1:E1"/>
    <mergeCell ref="G7:K7"/>
    <mergeCell ref="O7:U7"/>
  </mergeCells>
  <printOptions horizontalCentered="1"/>
  <pageMargins left="0.75" right="0.75" top="0.5" bottom="0.5" header="0" footer="0.3"/>
  <pageSetup firstPageNumber="4" useFirstPageNumber="1" horizontalDpi="600" verticalDpi="600" orientation="portrait" pageOrder="overThenDown" scale="70" r:id="rId1"/>
  <headerFooter scaleWithDoc="0" alignWithMargins="0">
    <oddFooter>&amp;C&amp;"Times New Roman,Regular"&amp;11&amp;P</oddFooter>
  </headerFooter>
  <rowBreaks count="1" manualBreakCount="1">
    <brk id="142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J367"/>
  <sheetViews>
    <sheetView zoomScaleSheetLayoutView="110" zoomScalePageLayoutView="0" workbookViewId="0" topLeftCell="A1">
      <pane xSplit="3" ySplit="7" topLeftCell="D8" activePane="bottomRight" state="frozen"/>
      <selection pane="topLeft" activeCell="M109" sqref="M109"/>
      <selection pane="topRight" activeCell="M109" sqref="M109"/>
      <selection pane="bottomLeft" activeCell="M109" sqref="M109"/>
      <selection pane="bottomRight" activeCell="A3" sqref="A3"/>
    </sheetView>
  </sheetViews>
  <sheetFormatPr defaultColWidth="9.140625" defaultRowHeight="12.75"/>
  <cols>
    <col min="1" max="1" width="31.8515625" style="2" bestFit="1" customWidth="1"/>
    <col min="2" max="2" width="1.7109375" style="2" customWidth="1"/>
    <col min="3" max="3" width="12.28125" style="2" customWidth="1"/>
    <col min="4" max="4" width="1.7109375" style="2" customWidth="1"/>
    <col min="5" max="5" width="11.7109375" style="2" customWidth="1"/>
    <col min="6" max="6" width="1.7109375" style="2" customWidth="1"/>
    <col min="7" max="7" width="11.7109375" style="2" customWidth="1"/>
    <col min="8" max="8" width="1.7109375" style="2" customWidth="1"/>
    <col min="9" max="9" width="13.7109375" style="2" customWidth="1"/>
    <col min="10" max="10" width="1.7109375" style="2" customWidth="1"/>
    <col min="11" max="11" width="11.7109375" style="2" customWidth="1"/>
    <col min="12" max="12" width="1.7109375" style="2" customWidth="1"/>
    <col min="13" max="13" width="11.7109375" style="2" customWidth="1"/>
    <col min="14" max="14" width="1.7109375" style="2" customWidth="1"/>
    <col min="15" max="15" width="11.7109375" style="2" customWidth="1"/>
    <col min="16" max="16" width="1.7109375" style="2" customWidth="1"/>
    <col min="17" max="17" width="11.7109375" style="2" customWidth="1"/>
    <col min="18" max="18" width="1.7109375" style="2" customWidth="1"/>
    <col min="19" max="19" width="11.7109375" style="2" customWidth="1"/>
    <col min="20" max="20" width="1.7109375" style="2" customWidth="1"/>
    <col min="21" max="21" width="11.57421875" style="2" customWidth="1"/>
    <col min="22" max="22" width="1.7109375" style="2" customWidth="1"/>
    <col min="23" max="23" width="10.8515625" style="2" customWidth="1"/>
    <col min="24" max="24" width="1.7109375" style="2" customWidth="1"/>
    <col min="25" max="25" width="11.7109375" style="2" customWidth="1"/>
    <col min="26" max="26" width="1.7109375" style="2" customWidth="1"/>
    <col min="27" max="27" width="11.7109375" style="2" customWidth="1"/>
    <col min="28" max="28" width="1.7109375" style="2" customWidth="1"/>
    <col min="29" max="29" width="12.7109375" style="2" customWidth="1"/>
    <col min="30" max="16384" width="9.140625" style="2" customWidth="1"/>
  </cols>
  <sheetData>
    <row r="1" ht="12">
      <c r="A1" s="2" t="s">
        <v>625</v>
      </c>
    </row>
    <row r="2" ht="12">
      <c r="A2" s="2" t="s">
        <v>490</v>
      </c>
    </row>
    <row r="3" ht="12">
      <c r="A3" s="29" t="s">
        <v>8</v>
      </c>
    </row>
    <row r="4" s="7" customFormat="1" ht="12">
      <c r="G4" s="7" t="s">
        <v>325</v>
      </c>
    </row>
    <row r="5" spans="5:27" s="7" customFormat="1" ht="12">
      <c r="E5" s="7" t="s">
        <v>32</v>
      </c>
      <c r="G5" s="7" t="s">
        <v>326</v>
      </c>
      <c r="M5" s="7" t="s">
        <v>30</v>
      </c>
      <c r="O5" s="7" t="s">
        <v>333</v>
      </c>
      <c r="U5" s="7" t="s">
        <v>338</v>
      </c>
      <c r="AA5" s="7" t="s">
        <v>0</v>
      </c>
    </row>
    <row r="6" spans="5:27" s="7" customFormat="1" ht="12" customHeight="1">
      <c r="E6" s="7" t="s">
        <v>0</v>
      </c>
      <c r="G6" s="7" t="s">
        <v>327</v>
      </c>
      <c r="I6" s="7" t="s">
        <v>402</v>
      </c>
      <c r="K6" s="7" t="s">
        <v>329</v>
      </c>
      <c r="M6" s="7" t="s">
        <v>331</v>
      </c>
      <c r="O6" s="7" t="s">
        <v>334</v>
      </c>
      <c r="Q6" s="7" t="s">
        <v>336</v>
      </c>
      <c r="U6" s="7" t="s">
        <v>339</v>
      </c>
      <c r="AA6" s="7" t="s">
        <v>340</v>
      </c>
    </row>
    <row r="7" spans="1:29" s="7" customFormat="1" ht="12" customHeight="1">
      <c r="A7" s="1" t="s">
        <v>6</v>
      </c>
      <c r="C7" s="1" t="s">
        <v>7</v>
      </c>
      <c r="D7" s="5"/>
      <c r="E7" s="1" t="s">
        <v>324</v>
      </c>
      <c r="F7" s="5"/>
      <c r="G7" s="1" t="s">
        <v>328</v>
      </c>
      <c r="H7" s="5"/>
      <c r="I7" s="1" t="s">
        <v>403</v>
      </c>
      <c r="J7" s="5"/>
      <c r="K7" s="1" t="s">
        <v>330</v>
      </c>
      <c r="L7" s="5"/>
      <c r="M7" s="1" t="s">
        <v>332</v>
      </c>
      <c r="N7" s="5"/>
      <c r="O7" s="1" t="s">
        <v>335</v>
      </c>
      <c r="P7" s="5"/>
      <c r="Q7" s="1" t="s">
        <v>337</v>
      </c>
      <c r="R7" s="5"/>
      <c r="S7" s="1" t="s">
        <v>1</v>
      </c>
      <c r="T7" s="5"/>
      <c r="U7" s="1" t="s">
        <v>33</v>
      </c>
      <c r="V7" s="5"/>
      <c r="W7" s="1" t="s">
        <v>609</v>
      </c>
      <c r="X7" s="5"/>
      <c r="Y7" s="1" t="s">
        <v>610</v>
      </c>
      <c r="Z7" s="5"/>
      <c r="AA7" s="1" t="s">
        <v>341</v>
      </c>
      <c r="AB7" s="5"/>
      <c r="AC7" s="6" t="s">
        <v>29</v>
      </c>
    </row>
    <row r="8" spans="1:62" s="4" customFormat="1" ht="12">
      <c r="A8" s="36" t="s">
        <v>76</v>
      </c>
      <c r="B8" s="36"/>
      <c r="C8" s="36" t="s">
        <v>512</v>
      </c>
      <c r="D8" s="36"/>
      <c r="E8" s="36">
        <v>0</v>
      </c>
      <c r="F8" s="36"/>
      <c r="G8" s="36">
        <v>292626.81</v>
      </c>
      <c r="H8" s="36"/>
      <c r="I8" s="36">
        <v>0</v>
      </c>
      <c r="J8" s="36"/>
      <c r="K8" s="36">
        <v>5822.51</v>
      </c>
      <c r="L8" s="36"/>
      <c r="M8" s="36">
        <v>0</v>
      </c>
      <c r="N8" s="36"/>
      <c r="O8" s="36">
        <v>2333.05</v>
      </c>
      <c r="P8" s="36"/>
      <c r="Q8" s="36">
        <v>7504.22</v>
      </c>
      <c r="R8" s="36"/>
      <c r="S8" s="36">
        <v>0</v>
      </c>
      <c r="T8" s="36"/>
      <c r="U8" s="36">
        <v>75</v>
      </c>
      <c r="V8" s="36"/>
      <c r="W8" s="36">
        <v>0</v>
      </c>
      <c r="X8" s="36"/>
      <c r="Y8" s="36">
        <v>0</v>
      </c>
      <c r="Z8" s="36"/>
      <c r="AA8" s="36">
        <v>0</v>
      </c>
      <c r="AB8" s="36"/>
      <c r="AC8" s="20">
        <f aca="true" t="shared" si="0" ref="AC8:AC47">SUM(E8:AA8)</f>
        <v>308361.58999999997</v>
      </c>
      <c r="AD8" s="37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</row>
    <row r="9" spans="1:62" s="3" customFormat="1" ht="12">
      <c r="A9" s="38" t="s">
        <v>77</v>
      </c>
      <c r="B9" s="38"/>
      <c r="C9" s="38" t="s">
        <v>43</v>
      </c>
      <c r="D9" s="38"/>
      <c r="E9" s="38">
        <v>0</v>
      </c>
      <c r="F9" s="38"/>
      <c r="G9" s="38">
        <v>997464.5</v>
      </c>
      <c r="H9" s="38"/>
      <c r="I9" s="38">
        <v>0</v>
      </c>
      <c r="J9" s="38"/>
      <c r="K9" s="38">
        <v>34179.34</v>
      </c>
      <c r="L9" s="38"/>
      <c r="M9" s="38">
        <v>0</v>
      </c>
      <c r="N9" s="38"/>
      <c r="O9" s="38">
        <v>170.32</v>
      </c>
      <c r="P9" s="38"/>
      <c r="Q9" s="38">
        <v>85673.13</v>
      </c>
      <c r="R9" s="38"/>
      <c r="S9" s="38">
        <v>237.59</v>
      </c>
      <c r="T9" s="38"/>
      <c r="U9" s="38">
        <v>0</v>
      </c>
      <c r="V9" s="38"/>
      <c r="W9" s="38">
        <v>0</v>
      </c>
      <c r="X9" s="38"/>
      <c r="Y9" s="38">
        <v>0</v>
      </c>
      <c r="Z9" s="38"/>
      <c r="AA9" s="38">
        <v>0</v>
      </c>
      <c r="AB9" s="38"/>
      <c r="AC9" s="9">
        <f t="shared" si="0"/>
        <v>1117724.8800000001</v>
      </c>
      <c r="AD9" s="39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</row>
    <row r="10" spans="1:29" s="3" customFormat="1" ht="12">
      <c r="A10" s="16" t="s">
        <v>491</v>
      </c>
      <c r="B10" s="16"/>
      <c r="C10" s="16" t="s">
        <v>23</v>
      </c>
      <c r="E10" s="3">
        <v>10292876</v>
      </c>
      <c r="G10" s="3">
        <v>14436659</v>
      </c>
      <c r="I10" s="3">
        <f>15476180-14436659</f>
        <v>1039521</v>
      </c>
      <c r="K10" s="3">
        <v>619426</v>
      </c>
      <c r="M10" s="3">
        <v>0</v>
      </c>
      <c r="O10" s="3">
        <v>16587</v>
      </c>
      <c r="Q10" s="3">
        <v>479332</v>
      </c>
      <c r="S10" s="3">
        <v>173002</v>
      </c>
      <c r="U10" s="3">
        <v>0</v>
      </c>
      <c r="W10" s="3">
        <v>0</v>
      </c>
      <c r="Y10" s="3">
        <v>0</v>
      </c>
      <c r="AA10" s="3">
        <v>646869</v>
      </c>
      <c r="AC10" s="9">
        <f t="shared" si="0"/>
        <v>27704272</v>
      </c>
    </row>
    <row r="11" spans="1:30" s="9" customFormat="1" ht="12">
      <c r="A11" s="9" t="s">
        <v>74</v>
      </c>
      <c r="C11" s="38" t="s">
        <v>44</v>
      </c>
      <c r="D11" s="38"/>
      <c r="E11" s="38">
        <v>0</v>
      </c>
      <c r="F11" s="38"/>
      <c r="G11" s="38">
        <v>313806.35</v>
      </c>
      <c r="H11" s="38"/>
      <c r="I11" s="38">
        <v>0</v>
      </c>
      <c r="J11" s="38"/>
      <c r="K11" s="38">
        <v>7090.25</v>
      </c>
      <c r="L11" s="38"/>
      <c r="M11" s="38">
        <v>0</v>
      </c>
      <c r="N11" s="38"/>
      <c r="O11" s="38">
        <v>105</v>
      </c>
      <c r="P11" s="38"/>
      <c r="Q11" s="38">
        <v>29111.84</v>
      </c>
      <c r="R11" s="38"/>
      <c r="S11" s="38">
        <v>4518</v>
      </c>
      <c r="T11" s="38"/>
      <c r="U11" s="38">
        <v>681.99</v>
      </c>
      <c r="V11" s="38"/>
      <c r="W11" s="38">
        <v>0</v>
      </c>
      <c r="X11" s="38"/>
      <c r="Y11" s="38">
        <v>0</v>
      </c>
      <c r="Z11" s="38"/>
      <c r="AA11" s="38">
        <v>0</v>
      </c>
      <c r="AB11" s="38"/>
      <c r="AC11" s="9">
        <f t="shared" si="0"/>
        <v>355313.43</v>
      </c>
      <c r="AD11" s="39"/>
    </row>
    <row r="12" spans="1:62" s="3" customFormat="1" ht="12">
      <c r="A12" s="38" t="s">
        <v>78</v>
      </c>
      <c r="B12" s="38"/>
      <c r="C12" s="38" t="s">
        <v>64</v>
      </c>
      <c r="D12" s="38"/>
      <c r="E12" s="38">
        <v>0</v>
      </c>
      <c r="F12" s="38"/>
      <c r="G12" s="38">
        <v>70095.4</v>
      </c>
      <c r="H12" s="38"/>
      <c r="I12" s="38">
        <v>750</v>
      </c>
      <c r="J12" s="38"/>
      <c r="K12" s="38">
        <v>1676.05</v>
      </c>
      <c r="L12" s="38"/>
      <c r="M12" s="38">
        <v>0</v>
      </c>
      <c r="N12" s="38"/>
      <c r="O12" s="38">
        <v>1127.5</v>
      </c>
      <c r="P12" s="38"/>
      <c r="Q12" s="38">
        <v>3905.42</v>
      </c>
      <c r="R12" s="38"/>
      <c r="S12" s="38">
        <v>102.49</v>
      </c>
      <c r="T12" s="38"/>
      <c r="U12" s="38">
        <v>73</v>
      </c>
      <c r="V12" s="38"/>
      <c r="W12" s="38">
        <v>0</v>
      </c>
      <c r="X12" s="38"/>
      <c r="Y12" s="38">
        <v>0</v>
      </c>
      <c r="Z12" s="38"/>
      <c r="AA12" s="38">
        <v>0</v>
      </c>
      <c r="AB12" s="38"/>
      <c r="AC12" s="9">
        <f t="shared" si="0"/>
        <v>77729.86</v>
      </c>
      <c r="AD12" s="39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</row>
    <row r="13" spans="1:62" s="12" customFormat="1" ht="12">
      <c r="A13" s="38" t="s">
        <v>513</v>
      </c>
      <c r="B13" s="38"/>
      <c r="C13" s="38" t="s">
        <v>60</v>
      </c>
      <c r="D13" s="38"/>
      <c r="E13" s="38">
        <v>316897.78</v>
      </c>
      <c r="F13" s="38"/>
      <c r="G13" s="38">
        <v>812504.75</v>
      </c>
      <c r="H13" s="38"/>
      <c r="I13" s="38">
        <v>28151.38</v>
      </c>
      <c r="J13" s="38"/>
      <c r="K13" s="38">
        <v>29842.52</v>
      </c>
      <c r="L13" s="38"/>
      <c r="M13" s="38">
        <v>0</v>
      </c>
      <c r="N13" s="38"/>
      <c r="O13" s="38">
        <v>1207</v>
      </c>
      <c r="P13" s="38"/>
      <c r="Q13" s="38">
        <v>14225.41</v>
      </c>
      <c r="R13" s="38"/>
      <c r="S13" s="38">
        <v>2336.41</v>
      </c>
      <c r="T13" s="38"/>
      <c r="U13" s="38">
        <v>0</v>
      </c>
      <c r="V13" s="38"/>
      <c r="W13" s="38">
        <v>0</v>
      </c>
      <c r="X13" s="38"/>
      <c r="Y13" s="38">
        <v>0</v>
      </c>
      <c r="Z13" s="38"/>
      <c r="AA13" s="38">
        <v>0</v>
      </c>
      <c r="AB13" s="38"/>
      <c r="AC13" s="9">
        <f t="shared" si="0"/>
        <v>1205165.2499999998</v>
      </c>
      <c r="AD13" s="39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</row>
    <row r="14" spans="1:29" s="9" customFormat="1" ht="12">
      <c r="A14" s="9" t="s">
        <v>80</v>
      </c>
      <c r="C14" s="9" t="s">
        <v>81</v>
      </c>
      <c r="E14" s="3">
        <v>0</v>
      </c>
      <c r="F14" s="3"/>
      <c r="G14" s="3">
        <v>1781248</v>
      </c>
      <c r="H14" s="3"/>
      <c r="I14" s="3">
        <v>0</v>
      </c>
      <c r="J14" s="3"/>
      <c r="K14" s="3">
        <v>30651</v>
      </c>
      <c r="L14" s="3"/>
      <c r="M14" s="3">
        <v>0</v>
      </c>
      <c r="N14" s="3"/>
      <c r="O14" s="3">
        <v>12786</v>
      </c>
      <c r="P14" s="3"/>
      <c r="Q14" s="3">
        <v>154435</v>
      </c>
      <c r="R14" s="3"/>
      <c r="S14" s="3">
        <v>6930</v>
      </c>
      <c r="T14" s="3"/>
      <c r="U14" s="3">
        <v>0</v>
      </c>
      <c r="V14" s="3"/>
      <c r="W14" s="3">
        <v>0</v>
      </c>
      <c r="X14" s="3"/>
      <c r="Y14" s="3">
        <v>0</v>
      </c>
      <c r="Z14" s="3"/>
      <c r="AA14" s="3">
        <v>0</v>
      </c>
      <c r="AC14" s="9">
        <f t="shared" si="0"/>
        <v>1986050</v>
      </c>
    </row>
    <row r="15" spans="1:29" s="9" customFormat="1" ht="12">
      <c r="A15" s="9" t="s">
        <v>82</v>
      </c>
      <c r="C15" s="9" t="s">
        <v>46</v>
      </c>
      <c r="E15" s="3">
        <v>0</v>
      </c>
      <c r="F15" s="3"/>
      <c r="G15" s="3">
        <v>269794</v>
      </c>
      <c r="H15" s="3"/>
      <c r="I15" s="3">
        <v>0</v>
      </c>
      <c r="J15" s="3"/>
      <c r="K15" s="3">
        <v>12528</v>
      </c>
      <c r="L15" s="3"/>
      <c r="M15" s="3">
        <v>0</v>
      </c>
      <c r="N15" s="3"/>
      <c r="O15" s="3">
        <v>498</v>
      </c>
      <c r="P15" s="3"/>
      <c r="Q15" s="3">
        <v>1350</v>
      </c>
      <c r="R15" s="3"/>
      <c r="S15" s="3">
        <v>22174</v>
      </c>
      <c r="T15" s="3"/>
      <c r="U15" s="3">
        <v>0</v>
      </c>
      <c r="V15" s="3"/>
      <c r="W15" s="3">
        <v>1</v>
      </c>
      <c r="X15" s="3"/>
      <c r="Y15" s="3">
        <v>0</v>
      </c>
      <c r="Z15" s="3"/>
      <c r="AA15" s="3">
        <v>0</v>
      </c>
      <c r="AC15" s="9">
        <f t="shared" si="0"/>
        <v>306345</v>
      </c>
    </row>
    <row r="16" spans="1:62" s="12" customFormat="1" ht="12">
      <c r="A16" s="38" t="s">
        <v>83</v>
      </c>
      <c r="B16" s="38"/>
      <c r="C16" s="38" t="s">
        <v>84</v>
      </c>
      <c r="D16" s="38"/>
      <c r="E16" s="38">
        <v>0</v>
      </c>
      <c r="F16" s="38"/>
      <c r="G16" s="38">
        <v>305454.21</v>
      </c>
      <c r="H16" s="38"/>
      <c r="I16" s="38">
        <v>0</v>
      </c>
      <c r="J16" s="38"/>
      <c r="K16" s="38">
        <v>7575.77</v>
      </c>
      <c r="L16" s="38"/>
      <c r="M16" s="38">
        <v>0</v>
      </c>
      <c r="N16" s="38"/>
      <c r="O16" s="38">
        <v>2854.62</v>
      </c>
      <c r="P16" s="38"/>
      <c r="Q16" s="38">
        <v>8058.36</v>
      </c>
      <c r="R16" s="38"/>
      <c r="S16" s="38">
        <v>159.25</v>
      </c>
      <c r="T16" s="38"/>
      <c r="U16" s="38">
        <v>0</v>
      </c>
      <c r="V16" s="38"/>
      <c r="W16" s="38">
        <v>0</v>
      </c>
      <c r="X16" s="38"/>
      <c r="Y16" s="38">
        <v>0</v>
      </c>
      <c r="Z16" s="38"/>
      <c r="AA16" s="38">
        <v>0</v>
      </c>
      <c r="AB16" s="38"/>
      <c r="AC16" s="9">
        <f t="shared" si="0"/>
        <v>324102.21</v>
      </c>
      <c r="AD16" s="39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</row>
    <row r="17" spans="1:29" s="9" customFormat="1" ht="12">
      <c r="A17" s="9" t="s">
        <v>342</v>
      </c>
      <c r="C17" s="38" t="s">
        <v>45</v>
      </c>
      <c r="D17" s="38"/>
      <c r="E17" s="38">
        <v>90269.58</v>
      </c>
      <c r="F17" s="38"/>
      <c r="G17" s="38">
        <v>273581.32</v>
      </c>
      <c r="H17" s="38"/>
      <c r="I17" s="38">
        <v>21265.07</v>
      </c>
      <c r="J17" s="38"/>
      <c r="K17" s="38">
        <v>14969.94</v>
      </c>
      <c r="L17" s="38"/>
      <c r="M17" s="38">
        <v>0</v>
      </c>
      <c r="N17" s="38"/>
      <c r="O17" s="38">
        <v>1865.57</v>
      </c>
      <c r="P17" s="38"/>
      <c r="Q17" s="38">
        <v>5608.83</v>
      </c>
      <c r="R17" s="38"/>
      <c r="S17" s="38">
        <v>5949.75</v>
      </c>
      <c r="T17" s="38"/>
      <c r="U17" s="38">
        <v>0</v>
      </c>
      <c r="V17" s="38"/>
      <c r="W17" s="38">
        <v>0</v>
      </c>
      <c r="X17" s="38"/>
      <c r="Y17" s="38">
        <v>0</v>
      </c>
      <c r="Z17" s="38"/>
      <c r="AA17" s="38">
        <v>0</v>
      </c>
      <c r="AB17" s="38"/>
      <c r="AC17" s="9">
        <f t="shared" si="0"/>
        <v>413510.06000000006</v>
      </c>
    </row>
    <row r="18" spans="1:29" s="9" customFormat="1" ht="12">
      <c r="A18" s="9" t="s">
        <v>86</v>
      </c>
      <c r="C18" s="9" t="s">
        <v>87</v>
      </c>
      <c r="E18" s="3">
        <v>6999</v>
      </c>
      <c r="F18" s="3"/>
      <c r="G18" s="3">
        <v>1255457</v>
      </c>
      <c r="H18" s="3"/>
      <c r="I18" s="3">
        <f>0</f>
        <v>0</v>
      </c>
      <c r="J18" s="3"/>
      <c r="K18" s="3">
        <v>51427</v>
      </c>
      <c r="L18" s="3"/>
      <c r="M18" s="3">
        <v>0</v>
      </c>
      <c r="N18" s="3"/>
      <c r="O18" s="3">
        <v>1100</v>
      </c>
      <c r="P18" s="3"/>
      <c r="Q18" s="3">
        <v>105710</v>
      </c>
      <c r="R18" s="3"/>
      <c r="S18" s="3">
        <v>9668</v>
      </c>
      <c r="T18" s="3"/>
      <c r="U18" s="3">
        <v>0</v>
      </c>
      <c r="V18" s="3"/>
      <c r="W18" s="3">
        <v>0</v>
      </c>
      <c r="X18" s="3"/>
      <c r="Y18" s="3">
        <v>0</v>
      </c>
      <c r="Z18" s="3"/>
      <c r="AA18" s="3">
        <v>0</v>
      </c>
      <c r="AC18" s="9">
        <f t="shared" si="0"/>
        <v>1430361</v>
      </c>
    </row>
    <row r="19" spans="1:62" s="3" customFormat="1" ht="12">
      <c r="A19" s="38" t="s">
        <v>383</v>
      </c>
      <c r="B19" s="38"/>
      <c r="C19" s="38" t="s">
        <v>46</v>
      </c>
      <c r="D19" s="38"/>
      <c r="E19" s="38">
        <v>1580453.58</v>
      </c>
      <c r="F19" s="38"/>
      <c r="G19" s="38">
        <v>0</v>
      </c>
      <c r="H19" s="38"/>
      <c r="I19" s="38">
        <v>0</v>
      </c>
      <c r="J19" s="38"/>
      <c r="K19" s="38">
        <v>39573.61</v>
      </c>
      <c r="L19" s="38"/>
      <c r="M19" s="38">
        <v>0</v>
      </c>
      <c r="N19" s="38"/>
      <c r="O19" s="38">
        <v>11455.32</v>
      </c>
      <c r="P19" s="38"/>
      <c r="Q19" s="38">
        <v>3793.35</v>
      </c>
      <c r="R19" s="38"/>
      <c r="S19" s="38">
        <v>60009.85</v>
      </c>
      <c r="T19" s="38"/>
      <c r="U19" s="38">
        <v>0</v>
      </c>
      <c r="V19" s="38"/>
      <c r="W19" s="38">
        <v>0</v>
      </c>
      <c r="X19" s="38"/>
      <c r="Y19" s="38">
        <v>41300</v>
      </c>
      <c r="Z19" s="38"/>
      <c r="AA19" s="38">
        <v>0</v>
      </c>
      <c r="AB19" s="38"/>
      <c r="AC19" s="9">
        <f t="shared" si="0"/>
        <v>1736585.7100000004</v>
      </c>
      <c r="AD19" s="39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</row>
    <row r="20" spans="1:62" s="3" customFormat="1" ht="12">
      <c r="A20" s="38" t="s">
        <v>89</v>
      </c>
      <c r="B20" s="38"/>
      <c r="C20" s="38" t="s">
        <v>47</v>
      </c>
      <c r="D20" s="38"/>
      <c r="E20" s="38">
        <v>0</v>
      </c>
      <c r="F20" s="38"/>
      <c r="G20" s="38">
        <v>1242021.37</v>
      </c>
      <c r="H20" s="38"/>
      <c r="I20" s="38">
        <v>0</v>
      </c>
      <c r="J20" s="38"/>
      <c r="K20" s="38">
        <v>18793.85</v>
      </c>
      <c r="L20" s="38"/>
      <c r="M20" s="38">
        <v>0</v>
      </c>
      <c r="N20" s="38"/>
      <c r="O20" s="38">
        <v>19603.81</v>
      </c>
      <c r="P20" s="38"/>
      <c r="Q20" s="38">
        <v>112335.34</v>
      </c>
      <c r="R20" s="38"/>
      <c r="S20" s="38">
        <v>6411.59</v>
      </c>
      <c r="T20" s="38"/>
      <c r="U20" s="38">
        <v>0</v>
      </c>
      <c r="V20" s="38"/>
      <c r="W20" s="38">
        <v>0</v>
      </c>
      <c r="X20" s="38"/>
      <c r="Y20" s="38">
        <v>0</v>
      </c>
      <c r="Z20" s="38"/>
      <c r="AA20" s="38">
        <v>0</v>
      </c>
      <c r="AB20" s="38"/>
      <c r="AC20" s="9">
        <f t="shared" si="0"/>
        <v>1399165.9600000004</v>
      </c>
      <c r="AD20" s="39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</row>
    <row r="21" spans="1:29" s="9" customFormat="1" ht="12">
      <c r="A21" s="9" t="s">
        <v>90</v>
      </c>
      <c r="C21" s="9" t="s">
        <v>60</v>
      </c>
      <c r="E21" s="3">
        <v>1368472</v>
      </c>
      <c r="F21" s="3"/>
      <c r="G21" s="3">
        <v>964828</v>
      </c>
      <c r="H21" s="3"/>
      <c r="I21" s="3">
        <v>0</v>
      </c>
      <c r="J21" s="3"/>
      <c r="K21" s="3">
        <v>62916</v>
      </c>
      <c r="L21" s="3"/>
      <c r="M21" s="3">
        <v>0</v>
      </c>
      <c r="N21" s="3"/>
      <c r="O21" s="3">
        <v>220</v>
      </c>
      <c r="P21" s="3"/>
      <c r="Q21" s="3">
        <v>17935</v>
      </c>
      <c r="R21" s="3"/>
      <c r="S21" s="3">
        <v>2345</v>
      </c>
      <c r="T21" s="3"/>
      <c r="U21" s="3">
        <v>0</v>
      </c>
      <c r="V21" s="3"/>
      <c r="W21" s="3">
        <v>0</v>
      </c>
      <c r="X21" s="3"/>
      <c r="Y21" s="3">
        <v>0</v>
      </c>
      <c r="Z21" s="3"/>
      <c r="AA21" s="3">
        <v>0</v>
      </c>
      <c r="AC21" s="9">
        <f t="shared" si="0"/>
        <v>2416716</v>
      </c>
    </row>
    <row r="22" spans="1:62" s="3" customFormat="1" ht="12">
      <c r="A22" s="38" t="s">
        <v>514</v>
      </c>
      <c r="B22" s="38"/>
      <c r="C22" s="38" t="s">
        <v>23</v>
      </c>
      <c r="D22" s="38"/>
      <c r="E22" s="38">
        <v>502966.83</v>
      </c>
      <c r="F22" s="38"/>
      <c r="G22" s="38">
        <v>1078834.12</v>
      </c>
      <c r="H22" s="38"/>
      <c r="I22" s="38">
        <v>53976.22</v>
      </c>
      <c r="J22" s="38"/>
      <c r="K22" s="38">
        <v>29391.77</v>
      </c>
      <c r="L22" s="38"/>
      <c r="M22" s="38">
        <v>0</v>
      </c>
      <c r="N22" s="38"/>
      <c r="O22" s="38">
        <v>6456.83</v>
      </c>
      <c r="P22" s="38"/>
      <c r="Q22" s="38">
        <v>82724</v>
      </c>
      <c r="R22" s="38"/>
      <c r="S22" s="38">
        <v>4023.3</v>
      </c>
      <c r="T22" s="38"/>
      <c r="U22" s="38">
        <v>0</v>
      </c>
      <c r="V22" s="38"/>
      <c r="W22" s="38">
        <v>0</v>
      </c>
      <c r="X22" s="38"/>
      <c r="Y22" s="38">
        <v>0</v>
      </c>
      <c r="Z22" s="38"/>
      <c r="AA22" s="38">
        <v>0</v>
      </c>
      <c r="AB22" s="38"/>
      <c r="AC22" s="9">
        <f t="shared" si="0"/>
        <v>1758373.0700000003</v>
      </c>
      <c r="AD22" s="39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</row>
    <row r="23" spans="1:29" s="9" customFormat="1" ht="12">
      <c r="A23" s="9" t="s">
        <v>22</v>
      </c>
      <c r="C23" s="9" t="s">
        <v>14</v>
      </c>
      <c r="E23" s="3">
        <v>0</v>
      </c>
      <c r="F23" s="3"/>
      <c r="G23" s="3">
        <v>513656</v>
      </c>
      <c r="H23" s="3"/>
      <c r="I23" s="3">
        <v>0</v>
      </c>
      <c r="J23" s="3"/>
      <c r="K23" s="3">
        <v>19224</v>
      </c>
      <c r="L23" s="3"/>
      <c r="M23" s="3">
        <v>0</v>
      </c>
      <c r="N23" s="3"/>
      <c r="O23" s="3">
        <v>3589</v>
      </c>
      <c r="P23" s="3"/>
      <c r="Q23" s="3">
        <v>12863</v>
      </c>
      <c r="R23" s="3"/>
      <c r="S23" s="3">
        <v>234</v>
      </c>
      <c r="T23" s="3"/>
      <c r="U23" s="3">
        <v>0</v>
      </c>
      <c r="V23" s="3"/>
      <c r="W23" s="3">
        <v>0</v>
      </c>
      <c r="X23" s="3"/>
      <c r="Y23" s="3">
        <v>0</v>
      </c>
      <c r="Z23" s="3"/>
      <c r="AA23" s="3">
        <v>0</v>
      </c>
      <c r="AC23" s="9">
        <f t="shared" si="0"/>
        <v>549566</v>
      </c>
    </row>
    <row r="24" spans="1:62" s="3" customFormat="1" ht="12">
      <c r="A24" s="38" t="s">
        <v>91</v>
      </c>
      <c r="B24" s="38"/>
      <c r="C24" s="38" t="s">
        <v>14</v>
      </c>
      <c r="D24" s="38"/>
      <c r="E24" s="38">
        <v>0</v>
      </c>
      <c r="F24" s="38"/>
      <c r="G24" s="38">
        <v>513655.46</v>
      </c>
      <c r="H24" s="38"/>
      <c r="I24" s="38">
        <v>0</v>
      </c>
      <c r="J24" s="38"/>
      <c r="K24" s="38">
        <v>9387.69</v>
      </c>
      <c r="L24" s="38"/>
      <c r="M24" s="38">
        <v>0</v>
      </c>
      <c r="N24" s="38"/>
      <c r="O24" s="38">
        <v>0</v>
      </c>
      <c r="P24" s="38"/>
      <c r="Q24" s="38">
        <v>45098.47</v>
      </c>
      <c r="R24" s="38"/>
      <c r="S24" s="38">
        <v>58.85</v>
      </c>
      <c r="T24" s="38"/>
      <c r="U24" s="38">
        <v>0</v>
      </c>
      <c r="V24" s="38"/>
      <c r="W24" s="38">
        <v>0</v>
      </c>
      <c r="X24" s="38"/>
      <c r="Y24" s="38">
        <v>0</v>
      </c>
      <c r="Z24" s="38"/>
      <c r="AA24" s="38">
        <v>0</v>
      </c>
      <c r="AB24" s="38"/>
      <c r="AC24" s="9">
        <f t="shared" si="0"/>
        <v>568200.47</v>
      </c>
      <c r="AD24" s="39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</row>
    <row r="25" spans="1:29" s="9" customFormat="1" ht="12">
      <c r="A25" s="9" t="s">
        <v>92</v>
      </c>
      <c r="C25" s="9" t="s">
        <v>93</v>
      </c>
      <c r="E25" s="3">
        <v>0</v>
      </c>
      <c r="F25" s="3"/>
      <c r="G25" s="3">
        <v>83847</v>
      </c>
      <c r="H25" s="3"/>
      <c r="I25" s="3">
        <v>0</v>
      </c>
      <c r="J25" s="3"/>
      <c r="K25" s="3">
        <v>2987</v>
      </c>
      <c r="L25" s="3"/>
      <c r="M25" s="3">
        <v>0</v>
      </c>
      <c r="N25" s="3"/>
      <c r="O25" s="3">
        <v>571</v>
      </c>
      <c r="P25" s="3"/>
      <c r="Q25" s="3">
        <v>6916</v>
      </c>
      <c r="R25" s="3"/>
      <c r="S25" s="3">
        <v>519</v>
      </c>
      <c r="T25" s="3"/>
      <c r="U25" s="3">
        <v>0</v>
      </c>
      <c r="V25" s="3"/>
      <c r="W25" s="3">
        <v>0</v>
      </c>
      <c r="X25" s="3"/>
      <c r="Y25" s="3">
        <v>0</v>
      </c>
      <c r="Z25" s="3"/>
      <c r="AA25" s="3">
        <v>0</v>
      </c>
      <c r="AC25" s="9">
        <f t="shared" si="0"/>
        <v>94840</v>
      </c>
    </row>
    <row r="26" spans="1:29" s="9" customFormat="1" ht="12">
      <c r="A26" s="9" t="s">
        <v>94</v>
      </c>
      <c r="C26" s="9" t="s">
        <v>95</v>
      </c>
      <c r="E26" s="3">
        <v>293247</v>
      </c>
      <c r="F26" s="3"/>
      <c r="G26" s="3">
        <v>0</v>
      </c>
      <c r="H26" s="3"/>
      <c r="I26" s="3">
        <v>695907</v>
      </c>
      <c r="J26" s="3"/>
      <c r="K26" s="3">
        <v>26912</v>
      </c>
      <c r="L26" s="3"/>
      <c r="M26" s="3">
        <v>0</v>
      </c>
      <c r="N26" s="3"/>
      <c r="O26" s="3">
        <v>23485</v>
      </c>
      <c r="P26" s="3"/>
      <c r="Q26" s="3">
        <v>53918</v>
      </c>
      <c r="R26" s="3"/>
      <c r="S26" s="3">
        <v>1361</v>
      </c>
      <c r="T26" s="3"/>
      <c r="U26" s="3">
        <v>0</v>
      </c>
      <c r="V26" s="3"/>
      <c r="W26" s="3">
        <v>0</v>
      </c>
      <c r="X26" s="3"/>
      <c r="Y26" s="3">
        <v>0</v>
      </c>
      <c r="Z26" s="3"/>
      <c r="AA26" s="3">
        <v>0</v>
      </c>
      <c r="AC26" s="9">
        <f t="shared" si="0"/>
        <v>1094830</v>
      </c>
    </row>
    <row r="27" spans="1:29" s="9" customFormat="1" ht="12">
      <c r="A27" s="9" t="s">
        <v>96</v>
      </c>
      <c r="C27" s="9" t="s">
        <v>48</v>
      </c>
      <c r="E27" s="3">
        <v>6107</v>
      </c>
      <c r="F27" s="3"/>
      <c r="G27" s="3">
        <v>140462</v>
      </c>
      <c r="H27" s="3"/>
      <c r="I27" s="3">
        <v>0</v>
      </c>
      <c r="J27" s="3"/>
      <c r="K27" s="3">
        <v>5264</v>
      </c>
      <c r="L27" s="3"/>
      <c r="M27" s="3">
        <v>0</v>
      </c>
      <c r="N27" s="3"/>
      <c r="O27" s="3">
        <v>448</v>
      </c>
      <c r="P27" s="3"/>
      <c r="Q27" s="3">
        <v>10510</v>
      </c>
      <c r="R27" s="3"/>
      <c r="S27" s="3">
        <v>0</v>
      </c>
      <c r="T27" s="3"/>
      <c r="U27" s="3">
        <v>0</v>
      </c>
      <c r="V27" s="3"/>
      <c r="W27" s="3">
        <v>0</v>
      </c>
      <c r="X27" s="3"/>
      <c r="Y27" s="3">
        <v>0</v>
      </c>
      <c r="Z27" s="3"/>
      <c r="AA27" s="3">
        <v>0</v>
      </c>
      <c r="AC27" s="9">
        <f t="shared" si="0"/>
        <v>162791</v>
      </c>
    </row>
    <row r="28" spans="1:29" s="9" customFormat="1" ht="12">
      <c r="A28" s="9" t="s">
        <v>343</v>
      </c>
      <c r="C28" s="9" t="s">
        <v>98</v>
      </c>
      <c r="E28" s="3">
        <v>0</v>
      </c>
      <c r="F28" s="3"/>
      <c r="G28" s="3">
        <v>1886471</v>
      </c>
      <c r="H28" s="3"/>
      <c r="I28" s="3">
        <v>0</v>
      </c>
      <c r="J28" s="3"/>
      <c r="K28" s="3">
        <v>70146</v>
      </c>
      <c r="L28" s="3"/>
      <c r="M28" s="3">
        <v>0</v>
      </c>
      <c r="N28" s="3"/>
      <c r="O28" s="3">
        <v>18389</v>
      </c>
      <c r="P28" s="3"/>
      <c r="Q28" s="3">
        <v>18133</v>
      </c>
      <c r="R28" s="3"/>
      <c r="S28" s="3">
        <v>6694</v>
      </c>
      <c r="T28" s="3"/>
      <c r="U28" s="3">
        <v>0</v>
      </c>
      <c r="V28" s="3"/>
      <c r="W28" s="3">
        <v>0</v>
      </c>
      <c r="X28" s="3"/>
      <c r="Y28" s="3">
        <v>0</v>
      </c>
      <c r="Z28" s="3"/>
      <c r="AA28" s="3">
        <v>0</v>
      </c>
      <c r="AC28" s="9">
        <f t="shared" si="0"/>
        <v>1999833</v>
      </c>
    </row>
    <row r="29" spans="1:29" s="9" customFormat="1" ht="12">
      <c r="A29" s="9" t="s">
        <v>99</v>
      </c>
      <c r="C29" s="9" t="s">
        <v>100</v>
      </c>
      <c r="E29" s="3">
        <v>0</v>
      </c>
      <c r="F29" s="3"/>
      <c r="G29" s="3">
        <v>0</v>
      </c>
      <c r="H29" s="3"/>
      <c r="I29" s="3">
        <v>1755552</v>
      </c>
      <c r="J29" s="3"/>
      <c r="K29" s="3">
        <v>32016</v>
      </c>
      <c r="L29" s="3"/>
      <c r="M29" s="3">
        <v>0</v>
      </c>
      <c r="N29" s="3"/>
      <c r="O29" s="3">
        <v>8941</v>
      </c>
      <c r="P29" s="3"/>
      <c r="Q29" s="3">
        <v>54718</v>
      </c>
      <c r="R29" s="3"/>
      <c r="S29" s="3">
        <v>10998</v>
      </c>
      <c r="T29" s="3"/>
      <c r="U29" s="3">
        <v>0</v>
      </c>
      <c r="V29" s="3"/>
      <c r="W29" s="3">
        <v>0</v>
      </c>
      <c r="X29" s="3"/>
      <c r="Y29" s="3">
        <v>0</v>
      </c>
      <c r="Z29" s="3"/>
      <c r="AA29" s="3">
        <v>0</v>
      </c>
      <c r="AC29" s="9">
        <f t="shared" si="0"/>
        <v>1862225</v>
      </c>
    </row>
    <row r="30" spans="1:29" s="9" customFormat="1" ht="12">
      <c r="A30" s="9" t="s">
        <v>101</v>
      </c>
      <c r="C30" s="9" t="s">
        <v>72</v>
      </c>
      <c r="E30" s="3">
        <v>0</v>
      </c>
      <c r="F30" s="3"/>
      <c r="G30" s="3">
        <v>498524</v>
      </c>
      <c r="H30" s="3"/>
      <c r="I30" s="3">
        <v>0</v>
      </c>
      <c r="J30" s="3"/>
      <c r="K30" s="3">
        <v>10703</v>
      </c>
      <c r="L30" s="3"/>
      <c r="M30" s="3">
        <v>0</v>
      </c>
      <c r="N30" s="3"/>
      <c r="O30" s="3">
        <v>2840</v>
      </c>
      <c r="P30" s="3"/>
      <c r="Q30" s="3">
        <v>4377</v>
      </c>
      <c r="R30" s="3"/>
      <c r="S30" s="3">
        <v>5160</v>
      </c>
      <c r="T30" s="3"/>
      <c r="U30" s="3">
        <v>0</v>
      </c>
      <c r="V30" s="3"/>
      <c r="W30" s="3">
        <v>0</v>
      </c>
      <c r="X30" s="3"/>
      <c r="Y30" s="3">
        <v>0</v>
      </c>
      <c r="Z30" s="3"/>
      <c r="AA30" s="3">
        <v>0</v>
      </c>
      <c r="AC30" s="9">
        <f t="shared" si="0"/>
        <v>521604</v>
      </c>
    </row>
    <row r="31" spans="1:62" s="3" customFormat="1" ht="12">
      <c r="A31" s="38" t="s">
        <v>102</v>
      </c>
      <c r="B31" s="38"/>
      <c r="C31" s="38" t="s">
        <v>48</v>
      </c>
      <c r="D31" s="38"/>
      <c r="E31" s="38">
        <v>0</v>
      </c>
      <c r="F31" s="38"/>
      <c r="G31" s="38">
        <v>0</v>
      </c>
      <c r="H31" s="38"/>
      <c r="I31" s="38">
        <v>155247.04</v>
      </c>
      <c r="J31" s="38"/>
      <c r="K31" s="38">
        <v>2721.53</v>
      </c>
      <c r="L31" s="38"/>
      <c r="M31" s="38">
        <v>0</v>
      </c>
      <c r="N31" s="38"/>
      <c r="O31" s="38">
        <v>2065.69</v>
      </c>
      <c r="P31" s="38"/>
      <c r="Q31" s="38">
        <v>1810.56</v>
      </c>
      <c r="R31" s="38"/>
      <c r="S31" s="38">
        <v>37.5</v>
      </c>
      <c r="T31" s="38"/>
      <c r="U31" s="38">
        <v>0</v>
      </c>
      <c r="V31" s="38"/>
      <c r="W31" s="38">
        <v>0</v>
      </c>
      <c r="X31" s="38"/>
      <c r="Y31" s="38">
        <v>0</v>
      </c>
      <c r="Z31" s="38"/>
      <c r="AA31" s="38">
        <v>0</v>
      </c>
      <c r="AB31" s="38"/>
      <c r="AC31" s="9">
        <f t="shared" si="0"/>
        <v>161882.32</v>
      </c>
      <c r="AD31" s="39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</row>
    <row r="32" spans="1:62" s="3" customFormat="1" ht="12">
      <c r="A32" s="38" t="s">
        <v>344</v>
      </c>
      <c r="B32" s="38"/>
      <c r="C32" s="38" t="s">
        <v>104</v>
      </c>
      <c r="D32" s="38"/>
      <c r="E32" s="38">
        <v>111596.49</v>
      </c>
      <c r="F32" s="38"/>
      <c r="G32" s="38">
        <v>282455.84</v>
      </c>
      <c r="H32" s="38"/>
      <c r="I32" s="38">
        <v>16556.14</v>
      </c>
      <c r="J32" s="38"/>
      <c r="K32" s="38">
        <v>8328.01</v>
      </c>
      <c r="L32" s="38"/>
      <c r="M32" s="38">
        <v>0</v>
      </c>
      <c r="N32" s="38"/>
      <c r="O32" s="38">
        <v>583.99</v>
      </c>
      <c r="P32" s="38"/>
      <c r="Q32" s="38">
        <v>8558.99</v>
      </c>
      <c r="R32" s="38"/>
      <c r="S32" s="38">
        <v>2030.12</v>
      </c>
      <c r="T32" s="38"/>
      <c r="U32" s="38">
        <v>0</v>
      </c>
      <c r="V32" s="38"/>
      <c r="W32" s="38">
        <v>0</v>
      </c>
      <c r="X32" s="38"/>
      <c r="Y32" s="38">
        <v>0</v>
      </c>
      <c r="Z32" s="38"/>
      <c r="AA32" s="38">
        <v>0</v>
      </c>
      <c r="AB32" s="38"/>
      <c r="AC32" s="9">
        <f t="shared" si="0"/>
        <v>430109.58</v>
      </c>
      <c r="AD32" s="39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</row>
    <row r="33" spans="1:62" s="3" customFormat="1" ht="12">
      <c r="A33" s="38" t="s">
        <v>105</v>
      </c>
      <c r="B33" s="38"/>
      <c r="C33" s="38" t="s">
        <v>49</v>
      </c>
      <c r="D33" s="38"/>
      <c r="E33" s="38">
        <v>0</v>
      </c>
      <c r="F33" s="38"/>
      <c r="G33" s="38">
        <v>229043.6</v>
      </c>
      <c r="H33" s="38"/>
      <c r="I33" s="38">
        <v>0</v>
      </c>
      <c r="J33" s="38"/>
      <c r="K33" s="38">
        <v>4106.5</v>
      </c>
      <c r="L33" s="38"/>
      <c r="M33" s="38">
        <v>0</v>
      </c>
      <c r="N33" s="38"/>
      <c r="O33" s="38">
        <v>2135</v>
      </c>
      <c r="P33" s="38"/>
      <c r="Q33" s="38">
        <v>15007.8</v>
      </c>
      <c r="R33" s="38"/>
      <c r="S33" s="38">
        <v>478.94</v>
      </c>
      <c r="T33" s="38"/>
      <c r="U33" s="38">
        <v>0</v>
      </c>
      <c r="V33" s="38"/>
      <c r="W33" s="38">
        <v>0</v>
      </c>
      <c r="X33" s="38"/>
      <c r="Y33" s="38">
        <v>0</v>
      </c>
      <c r="Z33" s="38"/>
      <c r="AA33" s="38">
        <v>0</v>
      </c>
      <c r="AB33" s="38"/>
      <c r="AC33" s="9">
        <f t="shared" si="0"/>
        <v>250771.84</v>
      </c>
      <c r="AD33" s="39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</row>
    <row r="34" spans="1:62" s="3" customFormat="1" ht="12">
      <c r="A34" s="38" t="s">
        <v>106</v>
      </c>
      <c r="B34" s="38"/>
      <c r="C34" s="38" t="s">
        <v>56</v>
      </c>
      <c r="D34" s="38"/>
      <c r="E34" s="38">
        <v>0</v>
      </c>
      <c r="F34" s="38"/>
      <c r="G34" s="38">
        <v>208722.93</v>
      </c>
      <c r="H34" s="38"/>
      <c r="I34" s="38">
        <v>0</v>
      </c>
      <c r="J34" s="38"/>
      <c r="K34" s="38">
        <v>8849.24</v>
      </c>
      <c r="L34" s="38"/>
      <c r="M34" s="38">
        <v>0</v>
      </c>
      <c r="N34" s="38"/>
      <c r="O34" s="38">
        <v>705</v>
      </c>
      <c r="P34" s="38"/>
      <c r="Q34" s="38">
        <v>4854.06</v>
      </c>
      <c r="R34" s="38"/>
      <c r="S34" s="38">
        <v>455.72</v>
      </c>
      <c r="T34" s="38"/>
      <c r="U34" s="38">
        <v>228</v>
      </c>
      <c r="V34" s="38"/>
      <c r="W34" s="38">
        <v>0</v>
      </c>
      <c r="X34" s="38"/>
      <c r="Y34" s="38">
        <v>0</v>
      </c>
      <c r="Z34" s="38"/>
      <c r="AA34" s="38">
        <v>0</v>
      </c>
      <c r="AB34" s="38"/>
      <c r="AC34" s="9">
        <f t="shared" si="0"/>
        <v>223814.94999999998</v>
      </c>
      <c r="AD34" s="39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</row>
    <row r="35" spans="1:29" s="9" customFormat="1" ht="12">
      <c r="A35" s="9" t="s">
        <v>107</v>
      </c>
      <c r="C35" s="9" t="s">
        <v>59</v>
      </c>
      <c r="E35" s="3">
        <v>0</v>
      </c>
      <c r="F35" s="3"/>
      <c r="G35" s="3">
        <v>0</v>
      </c>
      <c r="H35" s="3"/>
      <c r="I35" s="3">
        <v>494450</v>
      </c>
      <c r="J35" s="3"/>
      <c r="K35" s="3">
        <v>12610</v>
      </c>
      <c r="L35" s="3"/>
      <c r="M35" s="3">
        <v>0</v>
      </c>
      <c r="N35" s="3"/>
      <c r="O35" s="3">
        <v>75</v>
      </c>
      <c r="P35" s="3"/>
      <c r="Q35" s="3">
        <v>75833</v>
      </c>
      <c r="R35" s="3"/>
      <c r="S35" s="3">
        <f>11550+443</f>
        <v>11993</v>
      </c>
      <c r="T35" s="3"/>
      <c r="U35" s="3">
        <v>0</v>
      </c>
      <c r="V35" s="3"/>
      <c r="W35" s="3">
        <v>0</v>
      </c>
      <c r="X35" s="3"/>
      <c r="Y35" s="3">
        <v>0</v>
      </c>
      <c r="Z35" s="3"/>
      <c r="AA35" s="3">
        <v>0</v>
      </c>
      <c r="AC35" s="9">
        <f t="shared" si="0"/>
        <v>594961</v>
      </c>
    </row>
    <row r="36" spans="1:62" s="3" customFormat="1" ht="12">
      <c r="A36" s="38" t="s">
        <v>515</v>
      </c>
      <c r="B36" s="38"/>
      <c r="C36" s="38" t="s">
        <v>50</v>
      </c>
      <c r="D36" s="38"/>
      <c r="E36" s="38">
        <v>0</v>
      </c>
      <c r="F36" s="38"/>
      <c r="G36" s="38">
        <v>867570.37</v>
      </c>
      <c r="H36" s="38"/>
      <c r="I36" s="38">
        <v>0</v>
      </c>
      <c r="J36" s="38"/>
      <c r="K36" s="38">
        <v>34431.85</v>
      </c>
      <c r="L36" s="38"/>
      <c r="M36" s="38">
        <v>0</v>
      </c>
      <c r="N36" s="38"/>
      <c r="O36" s="38">
        <v>1372.63</v>
      </c>
      <c r="P36" s="38"/>
      <c r="Q36" s="38">
        <v>7359.73</v>
      </c>
      <c r="R36" s="38"/>
      <c r="S36" s="38">
        <v>20862.38</v>
      </c>
      <c r="T36" s="38"/>
      <c r="U36" s="38">
        <v>615</v>
      </c>
      <c r="V36" s="38"/>
      <c r="W36" s="38">
        <v>0</v>
      </c>
      <c r="X36" s="38"/>
      <c r="Y36" s="38">
        <v>0</v>
      </c>
      <c r="Z36" s="38"/>
      <c r="AA36" s="38">
        <v>0</v>
      </c>
      <c r="AB36" s="38"/>
      <c r="AC36" s="9">
        <f t="shared" si="0"/>
        <v>932211.96</v>
      </c>
      <c r="AD36" s="39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</row>
    <row r="37" spans="1:29" s="9" customFormat="1" ht="12">
      <c r="A37" s="9" t="s">
        <v>108</v>
      </c>
      <c r="C37" s="9" t="s">
        <v>109</v>
      </c>
      <c r="E37" s="3">
        <v>0</v>
      </c>
      <c r="F37" s="3"/>
      <c r="G37" s="3">
        <v>122462</v>
      </c>
      <c r="H37" s="3"/>
      <c r="I37" s="3">
        <v>0</v>
      </c>
      <c r="J37" s="3"/>
      <c r="K37" s="3">
        <v>6626</v>
      </c>
      <c r="L37" s="3"/>
      <c r="M37" s="3">
        <v>0</v>
      </c>
      <c r="N37" s="3"/>
      <c r="O37" s="3">
        <v>1025</v>
      </c>
      <c r="P37" s="3"/>
      <c r="Q37" s="3">
        <v>9918</v>
      </c>
      <c r="R37" s="3"/>
      <c r="S37" s="3">
        <v>0</v>
      </c>
      <c r="T37" s="3"/>
      <c r="U37" s="3">
        <v>0</v>
      </c>
      <c r="V37" s="3"/>
      <c r="W37" s="3">
        <v>0</v>
      </c>
      <c r="X37" s="3"/>
      <c r="Y37" s="3">
        <v>0</v>
      </c>
      <c r="Z37" s="3"/>
      <c r="AA37" s="3">
        <v>0</v>
      </c>
      <c r="AC37" s="9">
        <f t="shared" si="0"/>
        <v>140031</v>
      </c>
    </row>
    <row r="38" spans="1:29" s="9" customFormat="1" ht="12">
      <c r="A38" s="9" t="s">
        <v>110</v>
      </c>
      <c r="C38" s="9" t="s">
        <v>55</v>
      </c>
      <c r="E38" s="3">
        <v>639806</v>
      </c>
      <c r="F38" s="3"/>
      <c r="G38" s="3">
        <v>0</v>
      </c>
      <c r="H38" s="3"/>
      <c r="I38" s="3">
        <v>0</v>
      </c>
      <c r="J38" s="3"/>
      <c r="K38" s="3">
        <v>8650</v>
      </c>
      <c r="L38" s="3"/>
      <c r="M38" s="3">
        <v>0</v>
      </c>
      <c r="N38" s="3"/>
      <c r="O38" s="3">
        <f>37454+1755</f>
        <v>39209</v>
      </c>
      <c r="P38" s="3"/>
      <c r="Q38" s="3">
        <v>30502</v>
      </c>
      <c r="R38" s="3"/>
      <c r="S38" s="3">
        <f>165+7652+983</f>
        <v>8800</v>
      </c>
      <c r="T38" s="3"/>
      <c r="U38" s="3">
        <v>0</v>
      </c>
      <c r="V38" s="3"/>
      <c r="W38" s="3">
        <v>32222</v>
      </c>
      <c r="X38" s="3"/>
      <c r="Y38" s="3">
        <v>0</v>
      </c>
      <c r="Z38" s="3"/>
      <c r="AA38" s="3">
        <v>0</v>
      </c>
      <c r="AC38" s="9">
        <f t="shared" si="0"/>
        <v>759189</v>
      </c>
    </row>
    <row r="39" spans="1:62" s="3" customFormat="1" ht="12">
      <c r="A39" s="38" t="s">
        <v>111</v>
      </c>
      <c r="B39" s="38"/>
      <c r="C39" s="38" t="s">
        <v>18</v>
      </c>
      <c r="D39" s="38"/>
      <c r="E39" s="38">
        <v>142909.74</v>
      </c>
      <c r="F39" s="38"/>
      <c r="G39" s="38">
        <v>533445.15</v>
      </c>
      <c r="H39" s="38"/>
      <c r="I39" s="38">
        <v>32251.79</v>
      </c>
      <c r="J39" s="38"/>
      <c r="K39" s="38">
        <v>21996.76</v>
      </c>
      <c r="L39" s="38"/>
      <c r="M39" s="38">
        <v>0</v>
      </c>
      <c r="N39" s="38"/>
      <c r="O39" s="38">
        <v>23608.13</v>
      </c>
      <c r="P39" s="38"/>
      <c r="Q39" s="38">
        <v>5409.21</v>
      </c>
      <c r="R39" s="38"/>
      <c r="S39" s="38">
        <v>355.83</v>
      </c>
      <c r="T39" s="38"/>
      <c r="U39" s="38">
        <v>132</v>
      </c>
      <c r="V39" s="38"/>
      <c r="W39" s="38">
        <v>0</v>
      </c>
      <c r="X39" s="38"/>
      <c r="Y39" s="38">
        <v>0</v>
      </c>
      <c r="Z39" s="38"/>
      <c r="AA39" s="38">
        <v>0</v>
      </c>
      <c r="AB39" s="38"/>
      <c r="AC39" s="9">
        <f t="shared" si="0"/>
        <v>760108.61</v>
      </c>
      <c r="AD39" s="39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</row>
    <row r="40" spans="1:62" s="3" customFormat="1" ht="12">
      <c r="A40" s="38" t="s">
        <v>112</v>
      </c>
      <c r="B40" s="38"/>
      <c r="C40" s="38" t="s">
        <v>113</v>
      </c>
      <c r="D40" s="38"/>
      <c r="E40" s="38">
        <v>0</v>
      </c>
      <c r="F40" s="38"/>
      <c r="G40" s="38">
        <v>459882.36</v>
      </c>
      <c r="H40" s="38"/>
      <c r="I40" s="38">
        <v>0</v>
      </c>
      <c r="J40" s="38"/>
      <c r="K40" s="38">
        <v>13453.86</v>
      </c>
      <c r="L40" s="38"/>
      <c r="M40" s="38">
        <v>0</v>
      </c>
      <c r="N40" s="38"/>
      <c r="O40" s="38">
        <v>135</v>
      </c>
      <c r="P40" s="38"/>
      <c r="Q40" s="38">
        <v>16605.54</v>
      </c>
      <c r="R40" s="38"/>
      <c r="S40" s="38">
        <v>464.55</v>
      </c>
      <c r="T40" s="38"/>
      <c r="U40" s="38">
        <v>0</v>
      </c>
      <c r="V40" s="38"/>
      <c r="W40" s="38">
        <v>0</v>
      </c>
      <c r="X40" s="38"/>
      <c r="Y40" s="38">
        <v>0</v>
      </c>
      <c r="Z40" s="38"/>
      <c r="AA40" s="38">
        <v>0</v>
      </c>
      <c r="AB40" s="38"/>
      <c r="AC40" s="9">
        <f t="shared" si="0"/>
        <v>490541.30999999994</v>
      </c>
      <c r="AD40" s="39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</row>
    <row r="41" spans="1:62" s="3" customFormat="1" ht="12">
      <c r="A41" s="38" t="s">
        <v>114</v>
      </c>
      <c r="B41" s="38"/>
      <c r="C41" s="38" t="s">
        <v>26</v>
      </c>
      <c r="D41" s="38"/>
      <c r="E41" s="38">
        <v>252283.12</v>
      </c>
      <c r="F41" s="38"/>
      <c r="G41" s="38">
        <v>610640.63</v>
      </c>
      <c r="H41" s="38"/>
      <c r="I41" s="38">
        <v>10000</v>
      </c>
      <c r="J41" s="38"/>
      <c r="K41" s="38">
        <v>21533.24</v>
      </c>
      <c r="L41" s="38"/>
      <c r="M41" s="38">
        <v>0</v>
      </c>
      <c r="N41" s="38"/>
      <c r="O41" s="38">
        <v>1790</v>
      </c>
      <c r="P41" s="38"/>
      <c r="Q41" s="38">
        <v>14448.73</v>
      </c>
      <c r="R41" s="38"/>
      <c r="S41" s="38">
        <v>391.3</v>
      </c>
      <c r="T41" s="38"/>
      <c r="U41" s="38">
        <v>0</v>
      </c>
      <c r="V41" s="38"/>
      <c r="W41" s="38">
        <v>0</v>
      </c>
      <c r="X41" s="38"/>
      <c r="Y41" s="38">
        <v>0</v>
      </c>
      <c r="Z41" s="38"/>
      <c r="AA41" s="38">
        <v>0</v>
      </c>
      <c r="AB41" s="38"/>
      <c r="AC41" s="9">
        <f t="shared" si="0"/>
        <v>911087.02</v>
      </c>
      <c r="AD41" s="39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</row>
    <row r="42" spans="1:29" s="9" customFormat="1" ht="12">
      <c r="A42" s="9" t="s">
        <v>115</v>
      </c>
      <c r="C42" s="9" t="s">
        <v>71</v>
      </c>
      <c r="E42" s="3">
        <v>0</v>
      </c>
      <c r="F42" s="3"/>
      <c r="G42" s="3">
        <v>271843</v>
      </c>
      <c r="H42" s="3"/>
      <c r="I42" s="3">
        <v>0</v>
      </c>
      <c r="J42" s="3"/>
      <c r="K42" s="3">
        <v>8062</v>
      </c>
      <c r="L42" s="3"/>
      <c r="M42" s="3">
        <v>0</v>
      </c>
      <c r="N42" s="3"/>
      <c r="O42" s="3">
        <v>1776</v>
      </c>
      <c r="P42" s="3"/>
      <c r="Q42" s="3">
        <v>6294</v>
      </c>
      <c r="R42" s="3"/>
      <c r="S42" s="3">
        <v>4066</v>
      </c>
      <c r="T42" s="3"/>
      <c r="U42" s="3">
        <v>391</v>
      </c>
      <c r="V42" s="3"/>
      <c r="W42" s="3">
        <v>0</v>
      </c>
      <c r="X42" s="3"/>
      <c r="Y42" s="3">
        <v>0</v>
      </c>
      <c r="Z42" s="3"/>
      <c r="AA42" s="3">
        <v>0</v>
      </c>
      <c r="AC42" s="9">
        <f t="shared" si="0"/>
        <v>292432</v>
      </c>
    </row>
    <row r="43" spans="1:29" s="9" customFormat="1" ht="12">
      <c r="A43" s="9" t="s">
        <v>116</v>
      </c>
      <c r="C43" s="9" t="s">
        <v>54</v>
      </c>
      <c r="E43" s="3">
        <v>0</v>
      </c>
      <c r="F43" s="3"/>
      <c r="G43" s="3">
        <v>812179</v>
      </c>
      <c r="H43" s="3"/>
      <c r="I43" s="3">
        <v>0</v>
      </c>
      <c r="J43" s="3"/>
      <c r="K43" s="3">
        <v>8008</v>
      </c>
      <c r="L43" s="3"/>
      <c r="M43" s="3">
        <v>0</v>
      </c>
      <c r="N43" s="3"/>
      <c r="O43" s="3">
        <v>2340</v>
      </c>
      <c r="P43" s="3"/>
      <c r="Q43" s="3">
        <v>8780</v>
      </c>
      <c r="R43" s="3"/>
      <c r="S43" s="3">
        <v>18161</v>
      </c>
      <c r="T43" s="3"/>
      <c r="U43" s="3">
        <v>0</v>
      </c>
      <c r="V43" s="3"/>
      <c r="W43" s="3">
        <v>0</v>
      </c>
      <c r="X43" s="3"/>
      <c r="Y43" s="3">
        <v>0</v>
      </c>
      <c r="Z43" s="3"/>
      <c r="AA43" s="3">
        <v>0</v>
      </c>
      <c r="AC43" s="9">
        <f t="shared" si="0"/>
        <v>849468</v>
      </c>
    </row>
    <row r="44" spans="1:29" s="9" customFormat="1" ht="12">
      <c r="A44" s="9" t="s">
        <v>116</v>
      </c>
      <c r="C44" s="9" t="s">
        <v>117</v>
      </c>
      <c r="E44" s="3">
        <v>0</v>
      </c>
      <c r="F44" s="3"/>
      <c r="G44" s="3">
        <v>1049951</v>
      </c>
      <c r="H44" s="3"/>
      <c r="I44" s="3">
        <v>0</v>
      </c>
      <c r="J44" s="3"/>
      <c r="K44" s="3">
        <v>22074</v>
      </c>
      <c r="L44" s="3"/>
      <c r="M44" s="3">
        <v>0</v>
      </c>
      <c r="N44" s="3"/>
      <c r="O44" s="3">
        <v>2334</v>
      </c>
      <c r="P44" s="3"/>
      <c r="Q44" s="3">
        <v>72848</v>
      </c>
      <c r="R44" s="3"/>
      <c r="S44" s="3">
        <v>3357</v>
      </c>
      <c r="T44" s="3"/>
      <c r="U44" s="3">
        <v>0</v>
      </c>
      <c r="V44" s="3"/>
      <c r="W44" s="3">
        <v>0</v>
      </c>
      <c r="X44" s="3"/>
      <c r="Y44" s="3">
        <v>0</v>
      </c>
      <c r="Z44" s="3"/>
      <c r="AA44" s="3">
        <v>0</v>
      </c>
      <c r="AC44" s="9">
        <f t="shared" si="0"/>
        <v>1150564</v>
      </c>
    </row>
    <row r="45" spans="1:62" s="3" customFormat="1" ht="12">
      <c r="A45" s="38" t="s">
        <v>118</v>
      </c>
      <c r="B45" s="38"/>
      <c r="C45" s="38" t="s">
        <v>51</v>
      </c>
      <c r="D45" s="38"/>
      <c r="E45" s="38">
        <v>0</v>
      </c>
      <c r="F45" s="38"/>
      <c r="G45" s="38">
        <v>725663.06</v>
      </c>
      <c r="H45" s="38"/>
      <c r="I45" s="38">
        <v>0</v>
      </c>
      <c r="J45" s="38"/>
      <c r="K45" s="38">
        <v>26463.32</v>
      </c>
      <c r="L45" s="38"/>
      <c r="M45" s="38">
        <v>0</v>
      </c>
      <c r="N45" s="38"/>
      <c r="O45" s="38">
        <v>159047</v>
      </c>
      <c r="P45" s="38"/>
      <c r="Q45" s="38">
        <v>83731.61</v>
      </c>
      <c r="R45" s="38"/>
      <c r="S45" s="38">
        <v>5516.88</v>
      </c>
      <c r="T45" s="38"/>
      <c r="U45" s="38">
        <v>0</v>
      </c>
      <c r="V45" s="38"/>
      <c r="W45" s="38">
        <v>0</v>
      </c>
      <c r="X45" s="38"/>
      <c r="Y45" s="38">
        <v>0</v>
      </c>
      <c r="Z45" s="38"/>
      <c r="AA45" s="38">
        <v>0</v>
      </c>
      <c r="AB45" s="38"/>
      <c r="AC45" s="9">
        <f t="shared" si="0"/>
        <v>1000421.87</v>
      </c>
      <c r="AD45" s="39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</row>
    <row r="46" spans="1:29" s="9" customFormat="1" ht="12">
      <c r="A46" s="9" t="s">
        <v>119</v>
      </c>
      <c r="C46" s="9" t="s">
        <v>17</v>
      </c>
      <c r="E46" s="3">
        <v>0</v>
      </c>
      <c r="F46" s="3"/>
      <c r="G46" s="3">
        <v>283691</v>
      </c>
      <c r="H46" s="3"/>
      <c r="I46" s="3">
        <v>0</v>
      </c>
      <c r="J46" s="3"/>
      <c r="K46" s="3">
        <v>6475</v>
      </c>
      <c r="L46" s="3"/>
      <c r="M46" s="3">
        <v>0</v>
      </c>
      <c r="N46" s="3"/>
      <c r="O46" s="3">
        <v>539</v>
      </c>
      <c r="P46" s="3"/>
      <c r="Q46" s="3">
        <v>46373</v>
      </c>
      <c r="R46" s="3"/>
      <c r="S46" s="3">
        <v>13</v>
      </c>
      <c r="T46" s="3"/>
      <c r="U46" s="3">
        <v>0</v>
      </c>
      <c r="V46" s="3"/>
      <c r="W46" s="3">
        <v>0</v>
      </c>
      <c r="X46" s="3"/>
      <c r="Y46" s="3">
        <v>0</v>
      </c>
      <c r="Z46" s="3"/>
      <c r="AA46" s="3">
        <v>0</v>
      </c>
      <c r="AC46" s="9">
        <f t="shared" si="0"/>
        <v>337091</v>
      </c>
    </row>
    <row r="47" spans="1:29" s="9" customFormat="1" ht="12">
      <c r="A47" s="9" t="s">
        <v>345</v>
      </c>
      <c r="C47" s="9" t="s">
        <v>65</v>
      </c>
      <c r="E47" s="3">
        <v>128588</v>
      </c>
      <c r="F47" s="3"/>
      <c r="G47" s="3">
        <v>731724</v>
      </c>
      <c r="H47" s="3"/>
      <c r="I47" s="3">
        <v>0</v>
      </c>
      <c r="J47" s="3"/>
      <c r="K47" s="3">
        <v>43309</v>
      </c>
      <c r="L47" s="3"/>
      <c r="M47" s="3">
        <v>0</v>
      </c>
      <c r="N47" s="3"/>
      <c r="O47" s="3">
        <v>1053</v>
      </c>
      <c r="P47" s="3"/>
      <c r="Q47" s="3">
        <v>2987</v>
      </c>
      <c r="R47" s="3"/>
      <c r="S47" s="3">
        <v>3530</v>
      </c>
      <c r="T47" s="3"/>
      <c r="U47" s="3">
        <v>0</v>
      </c>
      <c r="V47" s="3"/>
      <c r="W47" s="3">
        <v>40000</v>
      </c>
      <c r="X47" s="3"/>
      <c r="Y47" s="3">
        <v>0</v>
      </c>
      <c r="Z47" s="3"/>
      <c r="AA47" s="3">
        <v>0</v>
      </c>
      <c r="AC47" s="9">
        <f t="shared" si="0"/>
        <v>951191</v>
      </c>
    </row>
    <row r="48" spans="1:29" s="9" customFormat="1" ht="12" hidden="1">
      <c r="A48" s="9" t="s">
        <v>346</v>
      </c>
      <c r="C48" s="9" t="s">
        <v>52</v>
      </c>
      <c r="E48" s="3">
        <v>0</v>
      </c>
      <c r="F48" s="3"/>
      <c r="G48" s="3">
        <v>0</v>
      </c>
      <c r="H48" s="3"/>
      <c r="I48" s="3">
        <v>0</v>
      </c>
      <c r="J48" s="3"/>
      <c r="K48" s="3">
        <v>0</v>
      </c>
      <c r="L48" s="3"/>
      <c r="M48" s="3">
        <v>0</v>
      </c>
      <c r="N48" s="3"/>
      <c r="O48" s="3">
        <v>0</v>
      </c>
      <c r="P48" s="3"/>
      <c r="Q48" s="3">
        <v>0</v>
      </c>
      <c r="R48" s="3"/>
      <c r="S48" s="3">
        <v>0</v>
      </c>
      <c r="T48" s="3"/>
      <c r="U48" s="3">
        <v>0</v>
      </c>
      <c r="V48" s="3"/>
      <c r="W48" s="3">
        <v>0</v>
      </c>
      <c r="X48" s="3"/>
      <c r="Y48" s="3">
        <v>0</v>
      </c>
      <c r="Z48" s="3"/>
      <c r="AA48" s="3">
        <v>0</v>
      </c>
      <c r="AC48" s="9">
        <f aca="true" t="shared" si="1" ref="AC48:AC112">SUM(E48:AA48)</f>
        <v>0</v>
      </c>
    </row>
    <row r="49" spans="1:62" s="9" customFormat="1" ht="12">
      <c r="A49" s="38" t="s">
        <v>388</v>
      </c>
      <c r="B49" s="38"/>
      <c r="C49" s="38" t="s">
        <v>52</v>
      </c>
      <c r="D49" s="38"/>
      <c r="E49" s="38">
        <v>0</v>
      </c>
      <c r="F49" s="38"/>
      <c r="G49" s="38">
        <v>2678639.67</v>
      </c>
      <c r="H49" s="38"/>
      <c r="I49" s="38">
        <v>1874</v>
      </c>
      <c r="J49" s="38"/>
      <c r="K49" s="38">
        <v>67979.55</v>
      </c>
      <c r="L49" s="38"/>
      <c r="M49" s="38">
        <v>0</v>
      </c>
      <c r="N49" s="38"/>
      <c r="O49" s="38">
        <v>3555</v>
      </c>
      <c r="P49" s="38"/>
      <c r="Q49" s="38">
        <v>41407.95</v>
      </c>
      <c r="R49" s="38"/>
      <c r="S49" s="38">
        <v>20185.4</v>
      </c>
      <c r="T49" s="38"/>
      <c r="U49" s="38">
        <v>0</v>
      </c>
      <c r="V49" s="38"/>
      <c r="W49" s="38">
        <v>0</v>
      </c>
      <c r="X49" s="38"/>
      <c r="Y49" s="38">
        <v>0</v>
      </c>
      <c r="Z49" s="38"/>
      <c r="AA49" s="38">
        <v>0</v>
      </c>
      <c r="AB49" s="38"/>
      <c r="AC49" s="9">
        <f t="shared" si="1"/>
        <v>2813641.57</v>
      </c>
      <c r="AD49" s="39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</row>
    <row r="50" spans="1:29" s="9" customFormat="1" ht="12" hidden="1">
      <c r="A50" s="9" t="s">
        <v>347</v>
      </c>
      <c r="C50" s="9" t="s">
        <v>27</v>
      </c>
      <c r="E50" s="3">
        <v>0</v>
      </c>
      <c r="F50" s="3"/>
      <c r="G50" s="3">
        <v>0</v>
      </c>
      <c r="H50" s="3"/>
      <c r="I50" s="3">
        <v>0</v>
      </c>
      <c r="J50" s="3"/>
      <c r="K50" s="3">
        <v>0</v>
      </c>
      <c r="L50" s="3"/>
      <c r="M50" s="3">
        <v>0</v>
      </c>
      <c r="N50" s="3"/>
      <c r="O50" s="3">
        <v>0</v>
      </c>
      <c r="P50" s="3"/>
      <c r="Q50" s="3">
        <v>0</v>
      </c>
      <c r="R50" s="3"/>
      <c r="S50" s="3">
        <v>0</v>
      </c>
      <c r="T50" s="3"/>
      <c r="U50" s="3">
        <v>0</v>
      </c>
      <c r="V50" s="3"/>
      <c r="W50" s="3">
        <v>0</v>
      </c>
      <c r="X50" s="3"/>
      <c r="Y50" s="3">
        <v>0</v>
      </c>
      <c r="Z50" s="3"/>
      <c r="AA50" s="3">
        <v>0</v>
      </c>
      <c r="AC50" s="9">
        <f t="shared" si="1"/>
        <v>0</v>
      </c>
    </row>
    <row r="51" spans="1:29" s="9" customFormat="1" ht="12">
      <c r="A51" s="9" t="s">
        <v>122</v>
      </c>
      <c r="C51" s="9" t="s">
        <v>123</v>
      </c>
      <c r="E51" s="3">
        <v>0</v>
      </c>
      <c r="F51" s="3"/>
      <c r="G51" s="3">
        <v>4914429</v>
      </c>
      <c r="H51" s="3"/>
      <c r="I51" s="3">
        <v>0</v>
      </c>
      <c r="J51" s="3"/>
      <c r="K51" s="3">
        <v>105754</v>
      </c>
      <c r="L51" s="3"/>
      <c r="M51" s="3">
        <v>2352</v>
      </c>
      <c r="N51" s="3"/>
      <c r="O51" s="3">
        <v>85446</v>
      </c>
      <c r="P51" s="3"/>
      <c r="Q51" s="3">
        <v>403770</v>
      </c>
      <c r="R51" s="3"/>
      <c r="S51" s="3">
        <v>61544</v>
      </c>
      <c r="T51" s="3"/>
      <c r="U51" s="3">
        <v>0</v>
      </c>
      <c r="V51" s="3"/>
      <c r="W51" s="3">
        <v>0</v>
      </c>
      <c r="X51" s="3"/>
      <c r="Y51" s="3">
        <v>0</v>
      </c>
      <c r="Z51" s="3"/>
      <c r="AA51" s="3">
        <v>6630</v>
      </c>
      <c r="AC51" s="9">
        <f t="shared" si="1"/>
        <v>5579925</v>
      </c>
    </row>
    <row r="52" spans="1:62" s="9" customFormat="1" ht="12">
      <c r="A52" s="38" t="s">
        <v>347</v>
      </c>
      <c r="B52" s="38"/>
      <c r="C52" s="38" t="s">
        <v>27</v>
      </c>
      <c r="D52" s="38"/>
      <c r="E52" s="38">
        <v>0</v>
      </c>
      <c r="F52" s="38"/>
      <c r="G52" s="38">
        <v>453301.31</v>
      </c>
      <c r="H52" s="38"/>
      <c r="I52" s="38">
        <v>3200</v>
      </c>
      <c r="J52" s="38"/>
      <c r="K52" s="38">
        <v>7761.33</v>
      </c>
      <c r="L52" s="38"/>
      <c r="M52" s="38">
        <v>0</v>
      </c>
      <c r="N52" s="38"/>
      <c r="O52" s="38">
        <v>2326.78</v>
      </c>
      <c r="P52" s="38"/>
      <c r="Q52" s="38">
        <v>8812.75</v>
      </c>
      <c r="R52" s="38"/>
      <c r="S52" s="38">
        <v>1464.61</v>
      </c>
      <c r="T52" s="38"/>
      <c r="U52" s="38">
        <v>0</v>
      </c>
      <c r="V52" s="38"/>
      <c r="W52" s="38">
        <v>0</v>
      </c>
      <c r="X52" s="38"/>
      <c r="Y52" s="38">
        <v>0</v>
      </c>
      <c r="Z52" s="38"/>
      <c r="AA52" s="38">
        <v>0</v>
      </c>
      <c r="AB52" s="38"/>
      <c r="AC52" s="9">
        <f t="shared" si="1"/>
        <v>476866.78</v>
      </c>
      <c r="AD52" s="39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</row>
    <row r="53" spans="1:29" s="9" customFormat="1" ht="12">
      <c r="A53" s="9" t="s">
        <v>125</v>
      </c>
      <c r="C53" s="9" t="s">
        <v>126</v>
      </c>
      <c r="E53" s="3">
        <v>1366777</v>
      </c>
      <c r="F53" s="3"/>
      <c r="G53" s="3">
        <v>0</v>
      </c>
      <c r="H53" s="3"/>
      <c r="I53" s="3">
        <v>5990898</v>
      </c>
      <c r="J53" s="3"/>
      <c r="K53" s="3">
        <v>336842</v>
      </c>
      <c r="L53" s="3"/>
      <c r="M53" s="3">
        <v>0</v>
      </c>
      <c r="N53" s="3"/>
      <c r="O53" s="3">
        <v>28579</v>
      </c>
      <c r="P53" s="3"/>
      <c r="Q53" s="3">
        <v>298470</v>
      </c>
      <c r="R53" s="3"/>
      <c r="S53" s="3">
        <v>67977</v>
      </c>
      <c r="T53" s="3"/>
      <c r="U53" s="3">
        <v>0</v>
      </c>
      <c r="V53" s="3"/>
      <c r="W53" s="3">
        <v>0</v>
      </c>
      <c r="X53" s="3"/>
      <c r="Y53" s="3">
        <v>0</v>
      </c>
      <c r="Z53" s="3"/>
      <c r="AA53" s="3">
        <v>6155</v>
      </c>
      <c r="AC53" s="9">
        <f t="shared" si="1"/>
        <v>8095698</v>
      </c>
    </row>
    <row r="54" spans="1:29" s="9" customFormat="1" ht="12" hidden="1">
      <c r="A54" s="9" t="s">
        <v>127</v>
      </c>
      <c r="C54" s="9" t="s">
        <v>100</v>
      </c>
      <c r="E54" s="3">
        <v>0</v>
      </c>
      <c r="F54" s="3"/>
      <c r="G54" s="3">
        <v>0</v>
      </c>
      <c r="H54" s="3"/>
      <c r="I54" s="3">
        <v>0</v>
      </c>
      <c r="J54" s="3"/>
      <c r="K54" s="3">
        <v>0</v>
      </c>
      <c r="L54" s="3"/>
      <c r="M54" s="3">
        <v>0</v>
      </c>
      <c r="N54" s="3"/>
      <c r="O54" s="3">
        <v>0</v>
      </c>
      <c r="P54" s="3"/>
      <c r="Q54" s="3">
        <v>0</v>
      </c>
      <c r="R54" s="3"/>
      <c r="S54" s="3">
        <v>0</v>
      </c>
      <c r="T54" s="3"/>
      <c r="U54" s="3">
        <v>0</v>
      </c>
      <c r="V54" s="3"/>
      <c r="W54" s="3">
        <v>0</v>
      </c>
      <c r="X54" s="3"/>
      <c r="Y54" s="3">
        <v>0</v>
      </c>
      <c r="Z54" s="3"/>
      <c r="AA54" s="3">
        <v>0</v>
      </c>
      <c r="AC54" s="9">
        <f t="shared" si="1"/>
        <v>0</v>
      </c>
    </row>
    <row r="55" spans="1:29" s="9" customFormat="1" ht="12" hidden="1">
      <c r="A55" s="9" t="s">
        <v>75</v>
      </c>
      <c r="C55" s="9" t="s">
        <v>53</v>
      </c>
      <c r="E55" s="3">
        <v>0</v>
      </c>
      <c r="F55" s="3"/>
      <c r="G55" s="3">
        <v>0</v>
      </c>
      <c r="H55" s="3"/>
      <c r="I55" s="3">
        <v>0</v>
      </c>
      <c r="J55" s="3"/>
      <c r="K55" s="3">
        <v>0</v>
      </c>
      <c r="L55" s="3"/>
      <c r="M55" s="3">
        <v>0</v>
      </c>
      <c r="N55" s="3"/>
      <c r="O55" s="3">
        <v>0</v>
      </c>
      <c r="P55" s="3"/>
      <c r="Q55" s="3">
        <v>0</v>
      </c>
      <c r="R55" s="3"/>
      <c r="S55" s="3">
        <v>0</v>
      </c>
      <c r="T55" s="3"/>
      <c r="U55" s="3">
        <v>0</v>
      </c>
      <c r="V55" s="3"/>
      <c r="W55" s="3">
        <v>0</v>
      </c>
      <c r="X55" s="3"/>
      <c r="Y55" s="3">
        <v>0</v>
      </c>
      <c r="Z55" s="3"/>
      <c r="AA55" s="3">
        <v>0</v>
      </c>
      <c r="AC55" s="9">
        <f t="shared" si="1"/>
        <v>0</v>
      </c>
    </row>
    <row r="56" spans="1:30" s="9" customFormat="1" ht="12" hidden="1">
      <c r="A56" s="9" t="s">
        <v>494</v>
      </c>
      <c r="C56" s="9" t="s">
        <v>98</v>
      </c>
      <c r="E56" s="3">
        <v>0</v>
      </c>
      <c r="F56" s="3"/>
      <c r="G56" s="3">
        <v>0</v>
      </c>
      <c r="H56" s="3"/>
      <c r="I56" s="3">
        <v>0</v>
      </c>
      <c r="J56" s="3"/>
      <c r="K56" s="3">
        <v>0</v>
      </c>
      <c r="L56" s="3"/>
      <c r="M56" s="3">
        <v>0</v>
      </c>
      <c r="N56" s="3"/>
      <c r="O56" s="3">
        <v>0</v>
      </c>
      <c r="P56" s="3"/>
      <c r="Q56" s="3">
        <v>0</v>
      </c>
      <c r="R56" s="3"/>
      <c r="S56" s="3">
        <v>0</v>
      </c>
      <c r="T56" s="3"/>
      <c r="U56" s="3">
        <v>0</v>
      </c>
      <c r="V56" s="3"/>
      <c r="W56" s="3">
        <v>0</v>
      </c>
      <c r="X56" s="3"/>
      <c r="Y56" s="3">
        <v>0</v>
      </c>
      <c r="Z56" s="3"/>
      <c r="AA56" s="3">
        <v>0</v>
      </c>
      <c r="AC56" s="9">
        <f t="shared" si="1"/>
        <v>0</v>
      </c>
      <c r="AD56" s="9" t="s">
        <v>493</v>
      </c>
    </row>
    <row r="57" spans="1:29" s="9" customFormat="1" ht="12">
      <c r="A57" s="9" t="s">
        <v>483</v>
      </c>
      <c r="C57" s="9" t="s">
        <v>20</v>
      </c>
      <c r="E57" s="3">
        <v>4537452</v>
      </c>
      <c r="F57" s="3"/>
      <c r="G57" s="3">
        <v>0</v>
      </c>
      <c r="H57" s="3"/>
      <c r="I57" s="3">
        <v>3151813</v>
      </c>
      <c r="J57" s="3"/>
      <c r="K57" s="3">
        <v>123751</v>
      </c>
      <c r="L57" s="3"/>
      <c r="M57" s="3">
        <v>20947</v>
      </c>
      <c r="N57" s="3"/>
      <c r="O57" s="3">
        <v>3206</v>
      </c>
      <c r="P57" s="3"/>
      <c r="Q57" s="3">
        <v>109554</v>
      </c>
      <c r="R57" s="3"/>
      <c r="S57" s="3">
        <v>9491</v>
      </c>
      <c r="T57" s="3"/>
      <c r="U57" s="3">
        <v>0</v>
      </c>
      <c r="V57" s="3"/>
      <c r="W57" s="3">
        <v>44</v>
      </c>
      <c r="X57" s="3"/>
      <c r="Y57" s="3">
        <v>0</v>
      </c>
      <c r="Z57" s="3"/>
      <c r="AA57" s="3">
        <v>127819</v>
      </c>
      <c r="AC57" s="9">
        <f t="shared" si="1"/>
        <v>8084077</v>
      </c>
    </row>
    <row r="58" spans="1:62" s="42" customFormat="1" ht="12" hidden="1">
      <c r="A58" s="9" t="s">
        <v>417</v>
      </c>
      <c r="B58" s="9"/>
      <c r="C58" s="9" t="s">
        <v>73</v>
      </c>
      <c r="D58" s="9"/>
      <c r="E58" s="3">
        <v>0</v>
      </c>
      <c r="F58" s="3"/>
      <c r="G58" s="3">
        <v>0</v>
      </c>
      <c r="H58" s="3"/>
      <c r="I58" s="3">
        <v>0</v>
      </c>
      <c r="J58" s="3"/>
      <c r="K58" s="3">
        <v>0</v>
      </c>
      <c r="L58" s="3"/>
      <c r="M58" s="3">
        <v>0</v>
      </c>
      <c r="N58" s="3"/>
      <c r="O58" s="3">
        <v>0</v>
      </c>
      <c r="P58" s="3"/>
      <c r="Q58" s="3">
        <v>0</v>
      </c>
      <c r="R58" s="3"/>
      <c r="S58" s="3">
        <v>0</v>
      </c>
      <c r="T58" s="3"/>
      <c r="U58" s="3">
        <v>0</v>
      </c>
      <c r="V58" s="3"/>
      <c r="W58" s="3">
        <v>0</v>
      </c>
      <c r="X58" s="3"/>
      <c r="Y58" s="3">
        <v>0</v>
      </c>
      <c r="Z58" s="3"/>
      <c r="AA58" s="3">
        <v>0</v>
      </c>
      <c r="AB58" s="9"/>
      <c r="AC58" s="9">
        <f t="shared" si="1"/>
        <v>0</v>
      </c>
      <c r="AD58" s="4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</row>
    <row r="59" spans="1:29" s="9" customFormat="1" ht="12">
      <c r="A59" s="9" t="s">
        <v>484</v>
      </c>
      <c r="C59" s="9" t="s">
        <v>20</v>
      </c>
      <c r="E59" s="3">
        <v>29671069</v>
      </c>
      <c r="F59" s="3"/>
      <c r="G59" s="3">
        <v>0</v>
      </c>
      <c r="H59" s="3"/>
      <c r="I59" s="3">
        <v>32745488</v>
      </c>
      <c r="J59" s="3"/>
      <c r="K59" s="3">
        <f>2965073+366567</f>
        <v>3331640</v>
      </c>
      <c r="L59" s="3"/>
      <c r="M59" s="3">
        <v>0</v>
      </c>
      <c r="N59" s="3"/>
      <c r="O59" s="3">
        <v>0</v>
      </c>
      <c r="P59" s="3"/>
      <c r="Q59" s="3">
        <v>2488794</v>
      </c>
      <c r="R59" s="3"/>
      <c r="S59" s="3">
        <v>253127</v>
      </c>
      <c r="T59" s="3"/>
      <c r="U59" s="3">
        <v>0</v>
      </c>
      <c r="V59" s="3"/>
      <c r="W59" s="3">
        <v>0</v>
      </c>
      <c r="X59" s="3"/>
      <c r="Y59" s="3">
        <v>0</v>
      </c>
      <c r="Z59" s="3"/>
      <c r="AA59" s="3">
        <v>0</v>
      </c>
      <c r="AC59" s="9">
        <f t="shared" si="1"/>
        <v>68490118</v>
      </c>
    </row>
    <row r="60" spans="1:62" s="9" customFormat="1" ht="12">
      <c r="A60" s="38" t="s">
        <v>516</v>
      </c>
      <c r="B60" s="38"/>
      <c r="C60" s="38" t="s">
        <v>100</v>
      </c>
      <c r="D60" s="38"/>
      <c r="E60" s="38">
        <v>211356.49</v>
      </c>
      <c r="F60" s="38"/>
      <c r="G60" s="38">
        <v>352357.38</v>
      </c>
      <c r="H60" s="38"/>
      <c r="I60" s="38">
        <v>12976.43</v>
      </c>
      <c r="J60" s="38"/>
      <c r="K60" s="38">
        <v>16950.58</v>
      </c>
      <c r="L60" s="38"/>
      <c r="M60" s="38">
        <v>0</v>
      </c>
      <c r="N60" s="38"/>
      <c r="O60" s="38">
        <v>52298.79</v>
      </c>
      <c r="P60" s="38"/>
      <c r="Q60" s="38">
        <v>15120.57</v>
      </c>
      <c r="R60" s="38"/>
      <c r="S60" s="38">
        <v>2406.08</v>
      </c>
      <c r="T60" s="38"/>
      <c r="U60" s="38">
        <v>0</v>
      </c>
      <c r="V60" s="38"/>
      <c r="W60" s="38">
        <v>0</v>
      </c>
      <c r="X60" s="38"/>
      <c r="Y60" s="38">
        <v>0</v>
      </c>
      <c r="Z60" s="38"/>
      <c r="AA60" s="38">
        <v>0</v>
      </c>
      <c r="AB60" s="38"/>
      <c r="AC60" s="9">
        <f t="shared" si="1"/>
        <v>663466.32</v>
      </c>
      <c r="AD60" s="39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</row>
    <row r="61" spans="1:29" s="9" customFormat="1" ht="12" hidden="1">
      <c r="A61" s="9" t="s">
        <v>132</v>
      </c>
      <c r="C61" s="9" t="s">
        <v>55</v>
      </c>
      <c r="E61" s="3">
        <v>0</v>
      </c>
      <c r="F61" s="3"/>
      <c r="G61" s="3">
        <v>0</v>
      </c>
      <c r="H61" s="3"/>
      <c r="I61" s="3">
        <v>0</v>
      </c>
      <c r="J61" s="3"/>
      <c r="K61" s="3">
        <v>0</v>
      </c>
      <c r="L61" s="3"/>
      <c r="M61" s="3">
        <v>0</v>
      </c>
      <c r="N61" s="3"/>
      <c r="O61" s="3">
        <v>0</v>
      </c>
      <c r="P61" s="3"/>
      <c r="Q61" s="3">
        <v>0</v>
      </c>
      <c r="R61" s="3"/>
      <c r="S61" s="3">
        <v>0</v>
      </c>
      <c r="T61" s="3"/>
      <c r="U61" s="3">
        <v>0</v>
      </c>
      <c r="V61" s="3"/>
      <c r="W61" s="3">
        <v>0</v>
      </c>
      <c r="X61" s="3"/>
      <c r="Y61" s="3">
        <v>0</v>
      </c>
      <c r="Z61" s="3"/>
      <c r="AA61" s="3">
        <v>0</v>
      </c>
      <c r="AC61" s="9">
        <f t="shared" si="1"/>
        <v>0</v>
      </c>
    </row>
    <row r="62" spans="1:62" s="9" customFormat="1" ht="12">
      <c r="A62" s="38" t="s">
        <v>517</v>
      </c>
      <c r="B62" s="38"/>
      <c r="C62" s="38" t="s">
        <v>53</v>
      </c>
      <c r="D62" s="38"/>
      <c r="E62" s="38">
        <v>0</v>
      </c>
      <c r="F62" s="38"/>
      <c r="G62" s="38">
        <v>256789.93</v>
      </c>
      <c r="H62" s="38"/>
      <c r="I62" s="38">
        <v>0</v>
      </c>
      <c r="J62" s="38"/>
      <c r="K62" s="38">
        <v>8024.06</v>
      </c>
      <c r="L62" s="38"/>
      <c r="M62" s="38">
        <v>0</v>
      </c>
      <c r="N62" s="38"/>
      <c r="O62" s="38">
        <v>2750</v>
      </c>
      <c r="P62" s="38"/>
      <c r="Q62" s="38">
        <v>3266.47</v>
      </c>
      <c r="R62" s="38"/>
      <c r="S62" s="38">
        <v>968</v>
      </c>
      <c r="T62" s="38"/>
      <c r="U62" s="38">
        <v>1152.51</v>
      </c>
      <c r="V62" s="38"/>
      <c r="W62" s="38">
        <v>0</v>
      </c>
      <c r="X62" s="38"/>
      <c r="Y62" s="38">
        <v>0</v>
      </c>
      <c r="Z62" s="38"/>
      <c r="AA62" s="38">
        <v>0</v>
      </c>
      <c r="AB62" s="38"/>
      <c r="AC62" s="9">
        <f t="shared" si="1"/>
        <v>272950.97</v>
      </c>
      <c r="AD62" s="39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</row>
    <row r="63" spans="1:62" s="9" customFormat="1" ht="12">
      <c r="A63" s="38" t="s">
        <v>518</v>
      </c>
      <c r="B63" s="38"/>
      <c r="C63" s="38" t="s">
        <v>54</v>
      </c>
      <c r="D63" s="38"/>
      <c r="E63" s="38">
        <v>0</v>
      </c>
      <c r="F63" s="38"/>
      <c r="G63" s="38">
        <v>737285.06</v>
      </c>
      <c r="H63" s="38"/>
      <c r="I63" s="38">
        <v>0</v>
      </c>
      <c r="J63" s="38"/>
      <c r="K63" s="38">
        <v>37336.77</v>
      </c>
      <c r="L63" s="38"/>
      <c r="M63" s="38">
        <v>0</v>
      </c>
      <c r="N63" s="38"/>
      <c r="O63" s="38">
        <v>11477</v>
      </c>
      <c r="P63" s="38"/>
      <c r="Q63" s="38">
        <v>19782.48</v>
      </c>
      <c r="R63" s="38"/>
      <c r="S63" s="38">
        <v>8423.61</v>
      </c>
      <c r="T63" s="38"/>
      <c r="U63" s="38">
        <v>0</v>
      </c>
      <c r="V63" s="38"/>
      <c r="W63" s="38">
        <v>0</v>
      </c>
      <c r="X63" s="38"/>
      <c r="Y63" s="38">
        <v>0</v>
      </c>
      <c r="Z63" s="38"/>
      <c r="AA63" s="38">
        <v>0</v>
      </c>
      <c r="AB63" s="38"/>
      <c r="AC63" s="9">
        <f t="shared" si="1"/>
        <v>814304.92</v>
      </c>
      <c r="AD63" s="39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</row>
    <row r="64" spans="1:29" s="9" customFormat="1" ht="12">
      <c r="A64" s="9" t="s">
        <v>128</v>
      </c>
      <c r="C64" s="9" t="s">
        <v>98</v>
      </c>
      <c r="E64" s="3">
        <v>21289485</v>
      </c>
      <c r="F64" s="3"/>
      <c r="G64" s="3">
        <v>24799507</v>
      </c>
      <c r="H64" s="3"/>
      <c r="I64" s="3">
        <v>0</v>
      </c>
      <c r="J64" s="3"/>
      <c r="K64" s="3">
        <v>1916166</v>
      </c>
      <c r="L64" s="3"/>
      <c r="M64" s="3">
        <v>798690</v>
      </c>
      <c r="N64" s="3"/>
      <c r="O64" s="3">
        <v>60025</v>
      </c>
      <c r="P64" s="3"/>
      <c r="Q64" s="3">
        <v>707376</v>
      </c>
      <c r="R64" s="3"/>
      <c r="S64" s="3">
        <v>372168</v>
      </c>
      <c r="T64" s="3"/>
      <c r="U64" s="3">
        <v>0</v>
      </c>
      <c r="V64" s="3"/>
      <c r="W64" s="3">
        <v>2480342</v>
      </c>
      <c r="X64" s="3"/>
      <c r="Y64" s="3">
        <v>0</v>
      </c>
      <c r="Z64" s="3"/>
      <c r="AA64" s="3">
        <v>0</v>
      </c>
      <c r="AC64" s="9">
        <f t="shared" si="1"/>
        <v>52423759</v>
      </c>
    </row>
    <row r="65" spans="1:62" s="9" customFormat="1" ht="12">
      <c r="A65" s="38" t="s">
        <v>519</v>
      </c>
      <c r="B65" s="38"/>
      <c r="C65" s="38" t="s">
        <v>73</v>
      </c>
      <c r="D65" s="38"/>
      <c r="E65" s="38">
        <v>0</v>
      </c>
      <c r="F65" s="38"/>
      <c r="G65" s="38">
        <v>634621.12</v>
      </c>
      <c r="H65" s="38"/>
      <c r="I65" s="38">
        <v>2350</v>
      </c>
      <c r="J65" s="38"/>
      <c r="K65" s="38">
        <v>21815.14</v>
      </c>
      <c r="L65" s="38"/>
      <c r="M65" s="38">
        <v>0</v>
      </c>
      <c r="N65" s="38"/>
      <c r="O65" s="38">
        <v>4397.76</v>
      </c>
      <c r="P65" s="38"/>
      <c r="Q65" s="38">
        <v>4517.93</v>
      </c>
      <c r="R65" s="38"/>
      <c r="S65" s="38">
        <v>0</v>
      </c>
      <c r="T65" s="38"/>
      <c r="U65" s="38">
        <v>0</v>
      </c>
      <c r="V65" s="38"/>
      <c r="W65" s="38">
        <v>0</v>
      </c>
      <c r="X65" s="38"/>
      <c r="Y65" s="38">
        <v>0</v>
      </c>
      <c r="Z65" s="38"/>
      <c r="AA65" s="38">
        <v>0</v>
      </c>
      <c r="AB65" s="38"/>
      <c r="AC65" s="9">
        <f t="shared" si="1"/>
        <v>667701.9500000001</v>
      </c>
      <c r="AD65" s="39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</row>
    <row r="66" spans="1:62" s="3" customFormat="1" ht="12">
      <c r="A66" s="9" t="s">
        <v>129</v>
      </c>
      <c r="B66" s="9"/>
      <c r="C66" s="9" t="s">
        <v>46</v>
      </c>
      <c r="D66" s="9"/>
      <c r="E66" s="3">
        <v>556586</v>
      </c>
      <c r="G66" s="3">
        <v>0</v>
      </c>
      <c r="I66" s="3">
        <v>0</v>
      </c>
      <c r="K66" s="3">
        <v>6871</v>
      </c>
      <c r="M66" s="3">
        <v>380</v>
      </c>
      <c r="O66" s="3">
        <v>2539</v>
      </c>
      <c r="Q66" s="3">
        <v>26550</v>
      </c>
      <c r="S66" s="3">
        <v>46177</v>
      </c>
      <c r="U66" s="3">
        <v>0</v>
      </c>
      <c r="W66" s="3">
        <v>0</v>
      </c>
      <c r="Y66" s="3">
        <v>0</v>
      </c>
      <c r="AA66" s="3">
        <v>0</v>
      </c>
      <c r="AB66" s="9"/>
      <c r="AC66" s="9">
        <f t="shared" si="1"/>
        <v>639103</v>
      </c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</row>
    <row r="67" spans="1:29" s="9" customFormat="1" ht="12" hidden="1">
      <c r="A67" s="9" t="s">
        <v>139</v>
      </c>
      <c r="C67" s="9" t="s">
        <v>45</v>
      </c>
      <c r="E67" s="3">
        <v>0</v>
      </c>
      <c r="F67" s="3"/>
      <c r="G67" s="3">
        <v>0</v>
      </c>
      <c r="H67" s="3"/>
      <c r="I67" s="3">
        <v>0</v>
      </c>
      <c r="J67" s="3"/>
      <c r="K67" s="3">
        <v>0</v>
      </c>
      <c r="L67" s="3"/>
      <c r="M67" s="3">
        <v>0</v>
      </c>
      <c r="N67" s="3"/>
      <c r="O67" s="3">
        <v>0</v>
      </c>
      <c r="P67" s="3"/>
      <c r="Q67" s="3">
        <v>0</v>
      </c>
      <c r="R67" s="3"/>
      <c r="S67" s="3">
        <v>0</v>
      </c>
      <c r="T67" s="3"/>
      <c r="U67" s="3">
        <v>0</v>
      </c>
      <c r="V67" s="3"/>
      <c r="W67" s="3">
        <v>0</v>
      </c>
      <c r="X67" s="3"/>
      <c r="Y67" s="3">
        <v>0</v>
      </c>
      <c r="Z67" s="3"/>
      <c r="AA67" s="3">
        <v>0</v>
      </c>
      <c r="AC67" s="9">
        <f t="shared" si="1"/>
        <v>0</v>
      </c>
    </row>
    <row r="68" spans="1:29" s="9" customFormat="1" ht="12">
      <c r="A68" s="9" t="s">
        <v>130</v>
      </c>
      <c r="C68" s="9" t="s">
        <v>131</v>
      </c>
      <c r="E68" s="3">
        <v>0</v>
      </c>
      <c r="F68" s="3"/>
      <c r="G68" s="3">
        <v>1382578</v>
      </c>
      <c r="H68" s="3"/>
      <c r="I68" s="3">
        <v>0</v>
      </c>
      <c r="J68" s="3"/>
      <c r="K68" s="3">
        <v>41799</v>
      </c>
      <c r="L68" s="3"/>
      <c r="M68" s="3">
        <v>0</v>
      </c>
      <c r="N68" s="3"/>
      <c r="O68" s="3">
        <v>8364</v>
      </c>
      <c r="P68" s="3"/>
      <c r="Q68" s="3">
        <v>39721</v>
      </c>
      <c r="R68" s="3"/>
      <c r="S68" s="3">
        <v>4527</v>
      </c>
      <c r="T68" s="3"/>
      <c r="U68" s="3">
        <v>0</v>
      </c>
      <c r="V68" s="3"/>
      <c r="W68" s="3">
        <v>0</v>
      </c>
      <c r="X68" s="3"/>
      <c r="Y68" s="3">
        <v>0</v>
      </c>
      <c r="Z68" s="3"/>
      <c r="AA68" s="3">
        <v>0</v>
      </c>
      <c r="AC68" s="9">
        <f t="shared" si="1"/>
        <v>1476989</v>
      </c>
    </row>
    <row r="69" spans="1:62" s="9" customFormat="1" ht="12">
      <c r="A69" s="38" t="s">
        <v>132</v>
      </c>
      <c r="B69" s="38"/>
      <c r="C69" s="38" t="s">
        <v>55</v>
      </c>
      <c r="D69" s="38"/>
      <c r="E69" s="38">
        <v>0</v>
      </c>
      <c r="F69" s="38"/>
      <c r="G69" s="38">
        <v>530124.33</v>
      </c>
      <c r="H69" s="38"/>
      <c r="I69" s="38">
        <v>0</v>
      </c>
      <c r="J69" s="38"/>
      <c r="K69" s="38">
        <v>12984.97</v>
      </c>
      <c r="L69" s="38"/>
      <c r="M69" s="38">
        <v>0</v>
      </c>
      <c r="N69" s="38"/>
      <c r="O69" s="38">
        <v>14704.85</v>
      </c>
      <c r="P69" s="38"/>
      <c r="Q69" s="38">
        <v>131013.12</v>
      </c>
      <c r="R69" s="38"/>
      <c r="S69" s="38">
        <v>1579.1</v>
      </c>
      <c r="T69" s="38"/>
      <c r="U69" s="38">
        <v>500</v>
      </c>
      <c r="V69" s="38"/>
      <c r="W69" s="38">
        <v>0</v>
      </c>
      <c r="X69" s="38"/>
      <c r="Y69" s="38">
        <v>0</v>
      </c>
      <c r="Z69" s="38"/>
      <c r="AA69" s="38">
        <v>0</v>
      </c>
      <c r="AB69" s="38"/>
      <c r="AC69" s="9">
        <f t="shared" si="1"/>
        <v>690906.3699999999</v>
      </c>
      <c r="AD69" s="39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</row>
    <row r="70" spans="1:29" s="9" customFormat="1" ht="12" hidden="1">
      <c r="A70" s="9" t="s">
        <v>348</v>
      </c>
      <c r="C70" s="9" t="s">
        <v>143</v>
      </c>
      <c r="E70" s="3">
        <v>0</v>
      </c>
      <c r="F70" s="3"/>
      <c r="G70" s="3">
        <v>0</v>
      </c>
      <c r="H70" s="3"/>
      <c r="I70" s="3">
        <v>0</v>
      </c>
      <c r="J70" s="3"/>
      <c r="K70" s="3">
        <v>0</v>
      </c>
      <c r="L70" s="3"/>
      <c r="M70" s="3">
        <v>0</v>
      </c>
      <c r="N70" s="3"/>
      <c r="O70" s="3">
        <v>0</v>
      </c>
      <c r="P70" s="3"/>
      <c r="Q70" s="3">
        <v>0</v>
      </c>
      <c r="R70" s="3"/>
      <c r="S70" s="3">
        <v>0</v>
      </c>
      <c r="T70" s="3"/>
      <c r="U70" s="3">
        <v>0</v>
      </c>
      <c r="V70" s="3"/>
      <c r="W70" s="3">
        <v>0</v>
      </c>
      <c r="X70" s="3"/>
      <c r="Y70" s="3">
        <v>0</v>
      </c>
      <c r="Z70" s="3"/>
      <c r="AA70" s="3">
        <v>0</v>
      </c>
      <c r="AC70" s="9">
        <f t="shared" si="1"/>
        <v>0</v>
      </c>
    </row>
    <row r="71" spans="1:29" s="9" customFormat="1" ht="12">
      <c r="A71" s="9" t="s">
        <v>133</v>
      </c>
      <c r="C71" s="9" t="s">
        <v>20</v>
      </c>
      <c r="E71" s="3">
        <v>32821754</v>
      </c>
      <c r="F71" s="3"/>
      <c r="G71" s="3">
        <v>0</v>
      </c>
      <c r="H71" s="3"/>
      <c r="I71" s="3">
        <v>29720243</v>
      </c>
      <c r="J71" s="3"/>
      <c r="K71" s="3">
        <v>779375</v>
      </c>
      <c r="L71" s="3"/>
      <c r="M71" s="3">
        <f>3751+29275</f>
        <v>33026</v>
      </c>
      <c r="N71" s="3"/>
      <c r="O71" s="3">
        <v>10330</v>
      </c>
      <c r="P71" s="3"/>
      <c r="Q71" s="3">
        <v>1412941</v>
      </c>
      <c r="R71" s="3"/>
      <c r="S71" s="3">
        <v>610043</v>
      </c>
      <c r="T71" s="3"/>
      <c r="U71" s="3">
        <v>0</v>
      </c>
      <c r="V71" s="3"/>
      <c r="W71" s="3">
        <v>0</v>
      </c>
      <c r="X71" s="3"/>
      <c r="Y71" s="3">
        <v>30000</v>
      </c>
      <c r="Z71" s="3"/>
      <c r="AA71" s="3">
        <v>0</v>
      </c>
      <c r="AC71" s="9">
        <f t="shared" si="1"/>
        <v>65417712</v>
      </c>
    </row>
    <row r="72" spans="1:29" s="9" customFormat="1" ht="12" hidden="1">
      <c r="A72" s="9" t="s">
        <v>145</v>
      </c>
      <c r="C72" s="9" t="s">
        <v>54</v>
      </c>
      <c r="E72" s="3">
        <v>0</v>
      </c>
      <c r="F72" s="3"/>
      <c r="G72" s="3">
        <v>0</v>
      </c>
      <c r="H72" s="3"/>
      <c r="I72" s="3">
        <v>0</v>
      </c>
      <c r="J72" s="3"/>
      <c r="K72" s="3">
        <v>0</v>
      </c>
      <c r="L72" s="3"/>
      <c r="M72" s="3">
        <v>0</v>
      </c>
      <c r="N72" s="3"/>
      <c r="O72" s="3">
        <v>0</v>
      </c>
      <c r="P72" s="3"/>
      <c r="Q72" s="3">
        <v>0</v>
      </c>
      <c r="R72" s="3"/>
      <c r="S72" s="3">
        <v>0</v>
      </c>
      <c r="T72" s="3"/>
      <c r="U72" s="3">
        <v>0</v>
      </c>
      <c r="V72" s="3"/>
      <c r="W72" s="3">
        <v>0</v>
      </c>
      <c r="X72" s="3"/>
      <c r="Y72" s="3">
        <v>0</v>
      </c>
      <c r="Z72" s="3"/>
      <c r="AA72" s="3">
        <v>0</v>
      </c>
      <c r="AC72" s="9">
        <f t="shared" si="1"/>
        <v>0</v>
      </c>
    </row>
    <row r="73" spans="1:29" s="9" customFormat="1" ht="12">
      <c r="A73" s="9" t="s">
        <v>134</v>
      </c>
      <c r="C73" s="9" t="s">
        <v>58</v>
      </c>
      <c r="E73" s="3">
        <v>8950282</v>
      </c>
      <c r="F73" s="3"/>
      <c r="G73" s="3">
        <v>20471725</v>
      </c>
      <c r="H73" s="3"/>
      <c r="I73" s="3">
        <v>0</v>
      </c>
      <c r="J73" s="3"/>
      <c r="K73" s="3">
        <v>544121</v>
      </c>
      <c r="L73" s="3"/>
      <c r="M73" s="3">
        <v>106651</v>
      </c>
      <c r="N73" s="3"/>
      <c r="O73" s="3">
        <v>118743</v>
      </c>
      <c r="P73" s="3"/>
      <c r="Q73" s="3">
        <v>634928</v>
      </c>
      <c r="R73" s="3"/>
      <c r="S73" s="3">
        <v>143223</v>
      </c>
      <c r="T73" s="3"/>
      <c r="U73" s="3">
        <v>4484</v>
      </c>
      <c r="V73" s="3"/>
      <c r="W73" s="3">
        <v>0</v>
      </c>
      <c r="X73" s="3"/>
      <c r="Y73" s="3">
        <v>0</v>
      </c>
      <c r="Z73" s="3"/>
      <c r="AA73" s="3">
        <v>0</v>
      </c>
      <c r="AC73" s="9">
        <f t="shared" si="1"/>
        <v>30974157</v>
      </c>
    </row>
    <row r="74" spans="1:29" s="9" customFormat="1" ht="12">
      <c r="A74" s="9" t="s">
        <v>135</v>
      </c>
      <c r="C74" s="9" t="s">
        <v>136</v>
      </c>
      <c r="E74" s="3">
        <v>0</v>
      </c>
      <c r="F74" s="3"/>
      <c r="G74" s="3">
        <v>1489460</v>
      </c>
      <c r="H74" s="3"/>
      <c r="I74" s="3">
        <v>10272</v>
      </c>
      <c r="J74" s="3"/>
      <c r="K74" s="3">
        <v>23252</v>
      </c>
      <c r="L74" s="3"/>
      <c r="M74" s="3">
        <v>0</v>
      </c>
      <c r="N74" s="3"/>
      <c r="O74" s="3">
        <v>4698</v>
      </c>
      <c r="P74" s="3"/>
      <c r="Q74" s="3">
        <v>65404</v>
      </c>
      <c r="R74" s="3"/>
      <c r="S74" s="3">
        <v>28231</v>
      </c>
      <c r="T74" s="3"/>
      <c r="U74" s="3">
        <v>0</v>
      </c>
      <c r="V74" s="3"/>
      <c r="W74" s="3">
        <v>0</v>
      </c>
      <c r="X74" s="3"/>
      <c r="Y74" s="3">
        <v>0</v>
      </c>
      <c r="Z74" s="3"/>
      <c r="AA74" s="3">
        <v>0</v>
      </c>
      <c r="AC74" s="9">
        <f t="shared" si="1"/>
        <v>1621317</v>
      </c>
    </row>
    <row r="75" spans="1:29" s="9" customFormat="1" ht="12">
      <c r="A75" s="9" t="s">
        <v>137</v>
      </c>
      <c r="C75" s="9" t="s">
        <v>73</v>
      </c>
      <c r="E75" s="3">
        <v>0</v>
      </c>
      <c r="F75" s="3"/>
      <c r="G75" s="3">
        <v>2061025</v>
      </c>
      <c r="H75" s="3"/>
      <c r="I75" s="3">
        <v>0</v>
      </c>
      <c r="J75" s="3"/>
      <c r="K75" s="3">
        <v>56758</v>
      </c>
      <c r="L75" s="3"/>
      <c r="M75" s="3">
        <v>0</v>
      </c>
      <c r="N75" s="3"/>
      <c r="O75" s="3">
        <v>52222</v>
      </c>
      <c r="P75" s="3"/>
      <c r="Q75" s="3">
        <v>76491</v>
      </c>
      <c r="R75" s="3"/>
      <c r="S75" s="3">
        <v>9310</v>
      </c>
      <c r="T75" s="3"/>
      <c r="U75" s="3">
        <v>0</v>
      </c>
      <c r="V75" s="3"/>
      <c r="W75" s="3">
        <v>0</v>
      </c>
      <c r="X75" s="3"/>
      <c r="Y75" s="3">
        <v>0</v>
      </c>
      <c r="Z75" s="3"/>
      <c r="AA75" s="3">
        <v>0</v>
      </c>
      <c r="AC75" s="9">
        <f t="shared" si="1"/>
        <v>2255806</v>
      </c>
    </row>
    <row r="76" spans="1:29" s="9" customFormat="1" ht="12" hidden="1">
      <c r="A76" s="9" t="s">
        <v>147</v>
      </c>
      <c r="C76" s="9" t="s">
        <v>45</v>
      </c>
      <c r="E76" s="3">
        <v>0</v>
      </c>
      <c r="F76" s="3"/>
      <c r="G76" s="3">
        <v>0</v>
      </c>
      <c r="H76" s="3"/>
      <c r="I76" s="3">
        <v>0</v>
      </c>
      <c r="J76" s="3"/>
      <c r="K76" s="3">
        <v>0</v>
      </c>
      <c r="L76" s="3"/>
      <c r="M76" s="3">
        <v>0</v>
      </c>
      <c r="N76" s="3"/>
      <c r="O76" s="3">
        <v>0</v>
      </c>
      <c r="P76" s="3"/>
      <c r="Q76" s="3">
        <v>0</v>
      </c>
      <c r="R76" s="3"/>
      <c r="S76" s="3">
        <v>0</v>
      </c>
      <c r="T76" s="3"/>
      <c r="U76" s="3">
        <v>0</v>
      </c>
      <c r="V76" s="3"/>
      <c r="W76" s="3">
        <v>0</v>
      </c>
      <c r="X76" s="3"/>
      <c r="Y76" s="3">
        <v>0</v>
      </c>
      <c r="Z76" s="3"/>
      <c r="AA76" s="3">
        <v>0</v>
      </c>
      <c r="AC76" s="9">
        <f t="shared" si="1"/>
        <v>0</v>
      </c>
    </row>
    <row r="77" spans="1:62" s="9" customFormat="1" ht="12">
      <c r="A77" s="38" t="s">
        <v>138</v>
      </c>
      <c r="B77" s="38"/>
      <c r="C77" s="38" t="s">
        <v>104</v>
      </c>
      <c r="D77" s="38"/>
      <c r="E77" s="38">
        <v>57398.73</v>
      </c>
      <c r="F77" s="38"/>
      <c r="G77" s="38">
        <v>440241.58</v>
      </c>
      <c r="H77" s="38"/>
      <c r="I77" s="38">
        <v>0</v>
      </c>
      <c r="J77" s="38"/>
      <c r="K77" s="38">
        <v>7684.82</v>
      </c>
      <c r="L77" s="38"/>
      <c r="M77" s="38">
        <v>0</v>
      </c>
      <c r="N77" s="38"/>
      <c r="O77" s="38">
        <v>27652.37</v>
      </c>
      <c r="P77" s="38"/>
      <c r="Q77" s="38">
        <v>17034.8</v>
      </c>
      <c r="R77" s="38"/>
      <c r="S77" s="38">
        <v>4536.69</v>
      </c>
      <c r="T77" s="38"/>
      <c r="U77" s="38">
        <v>0</v>
      </c>
      <c r="V77" s="38"/>
      <c r="W77" s="38">
        <v>0</v>
      </c>
      <c r="X77" s="38"/>
      <c r="Y77" s="38">
        <v>0</v>
      </c>
      <c r="Z77" s="38"/>
      <c r="AA77" s="38">
        <v>0</v>
      </c>
      <c r="AB77" s="38"/>
      <c r="AC77" s="9">
        <f t="shared" si="1"/>
        <v>554548.99</v>
      </c>
      <c r="AD77" s="39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</row>
    <row r="78" spans="1:62" s="9" customFormat="1" ht="12">
      <c r="A78" s="38" t="s">
        <v>139</v>
      </c>
      <c r="B78" s="38"/>
      <c r="C78" s="38" t="s">
        <v>45</v>
      </c>
      <c r="D78" s="38"/>
      <c r="E78" s="38">
        <v>98872.01</v>
      </c>
      <c r="F78" s="38"/>
      <c r="G78" s="38">
        <v>295054.55</v>
      </c>
      <c r="H78" s="38"/>
      <c r="I78" s="38">
        <v>56582.26</v>
      </c>
      <c r="J78" s="38"/>
      <c r="K78" s="38">
        <v>17015.72</v>
      </c>
      <c r="L78" s="38"/>
      <c r="M78" s="38">
        <v>0</v>
      </c>
      <c r="N78" s="38"/>
      <c r="O78" s="38">
        <v>13515.28</v>
      </c>
      <c r="P78" s="38"/>
      <c r="Q78" s="38">
        <v>9480.31</v>
      </c>
      <c r="R78" s="38"/>
      <c r="S78" s="38">
        <v>0</v>
      </c>
      <c r="T78" s="38"/>
      <c r="U78" s="38">
        <v>1225.13</v>
      </c>
      <c r="V78" s="38"/>
      <c r="W78" s="38">
        <v>0</v>
      </c>
      <c r="X78" s="38"/>
      <c r="Y78" s="38">
        <v>0</v>
      </c>
      <c r="Z78" s="38"/>
      <c r="AA78" s="38">
        <v>0</v>
      </c>
      <c r="AB78" s="38"/>
      <c r="AC78" s="9">
        <f t="shared" si="1"/>
        <v>491745.26000000007</v>
      </c>
      <c r="AD78" s="39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</row>
    <row r="79" spans="1:29" s="9" customFormat="1" ht="12">
      <c r="A79" s="9" t="s">
        <v>140</v>
      </c>
      <c r="C79" s="9" t="s">
        <v>66</v>
      </c>
      <c r="E79" s="3">
        <v>0</v>
      </c>
      <c r="F79" s="3"/>
      <c r="G79" s="3">
        <v>325593</v>
      </c>
      <c r="H79" s="3"/>
      <c r="I79" s="3">
        <v>0</v>
      </c>
      <c r="J79" s="3"/>
      <c r="K79" s="3">
        <v>16108</v>
      </c>
      <c r="L79" s="3"/>
      <c r="M79" s="3">
        <v>0</v>
      </c>
      <c r="N79" s="3"/>
      <c r="O79" s="3">
        <v>12880</v>
      </c>
      <c r="P79" s="3"/>
      <c r="Q79" s="3">
        <v>15640</v>
      </c>
      <c r="R79" s="3"/>
      <c r="S79" s="3">
        <v>0</v>
      </c>
      <c r="T79" s="3"/>
      <c r="U79" s="3">
        <v>0</v>
      </c>
      <c r="V79" s="3"/>
      <c r="W79" s="3">
        <v>0</v>
      </c>
      <c r="X79" s="3"/>
      <c r="Y79" s="3">
        <v>0</v>
      </c>
      <c r="Z79" s="3"/>
      <c r="AA79" s="3">
        <v>0</v>
      </c>
      <c r="AC79" s="9">
        <f t="shared" si="1"/>
        <v>370221</v>
      </c>
    </row>
    <row r="80" spans="1:29" s="9" customFormat="1" ht="12" hidden="1">
      <c r="A80" s="9" t="s">
        <v>151</v>
      </c>
      <c r="C80" s="9" t="s">
        <v>56</v>
      </c>
      <c r="E80" s="3">
        <v>0</v>
      </c>
      <c r="F80" s="3"/>
      <c r="G80" s="3">
        <v>0</v>
      </c>
      <c r="H80" s="3"/>
      <c r="I80" s="3">
        <v>0</v>
      </c>
      <c r="J80" s="3"/>
      <c r="K80" s="3">
        <v>0</v>
      </c>
      <c r="L80" s="3"/>
      <c r="M80" s="3">
        <v>0</v>
      </c>
      <c r="N80" s="3"/>
      <c r="O80" s="3">
        <v>0</v>
      </c>
      <c r="P80" s="3"/>
      <c r="Q80" s="3">
        <v>0</v>
      </c>
      <c r="R80" s="3"/>
      <c r="S80" s="3">
        <v>0</v>
      </c>
      <c r="T80" s="3"/>
      <c r="U80" s="3">
        <v>0</v>
      </c>
      <c r="V80" s="3"/>
      <c r="W80" s="3">
        <v>0</v>
      </c>
      <c r="X80" s="3"/>
      <c r="Y80" s="3">
        <v>0</v>
      </c>
      <c r="Z80" s="3"/>
      <c r="AA80" s="3">
        <v>0</v>
      </c>
      <c r="AC80" s="9">
        <f t="shared" si="1"/>
        <v>0</v>
      </c>
    </row>
    <row r="81" spans="1:29" s="9" customFormat="1" ht="12" hidden="1">
      <c r="A81" s="9" t="s">
        <v>152</v>
      </c>
      <c r="C81" s="9" t="s">
        <v>64</v>
      </c>
      <c r="E81" s="3">
        <v>0</v>
      </c>
      <c r="F81" s="3"/>
      <c r="G81" s="3">
        <v>0</v>
      </c>
      <c r="H81" s="3"/>
      <c r="I81" s="3">
        <v>0</v>
      </c>
      <c r="J81" s="3"/>
      <c r="K81" s="3">
        <v>0</v>
      </c>
      <c r="L81" s="3"/>
      <c r="M81" s="3">
        <v>0</v>
      </c>
      <c r="N81" s="3"/>
      <c r="O81" s="3">
        <v>0</v>
      </c>
      <c r="P81" s="3"/>
      <c r="Q81" s="3">
        <v>0</v>
      </c>
      <c r="R81" s="3"/>
      <c r="S81" s="3">
        <v>0</v>
      </c>
      <c r="T81" s="3"/>
      <c r="U81" s="3">
        <v>0</v>
      </c>
      <c r="V81" s="3"/>
      <c r="W81" s="3">
        <v>0</v>
      </c>
      <c r="X81" s="3"/>
      <c r="Y81" s="3">
        <v>0</v>
      </c>
      <c r="Z81" s="3"/>
      <c r="AA81" s="3">
        <v>0</v>
      </c>
      <c r="AC81" s="9">
        <f t="shared" si="1"/>
        <v>0</v>
      </c>
    </row>
    <row r="82" spans="1:29" s="9" customFormat="1" ht="12">
      <c r="A82" s="9" t="s">
        <v>141</v>
      </c>
      <c r="C82" s="9" t="s">
        <v>27</v>
      </c>
      <c r="E82" s="3">
        <v>0</v>
      </c>
      <c r="F82" s="3"/>
      <c r="G82" s="3">
        <v>737451</v>
      </c>
      <c r="H82" s="3"/>
      <c r="I82" s="3">
        <v>0</v>
      </c>
      <c r="J82" s="3"/>
      <c r="K82" s="3">
        <v>26158</v>
      </c>
      <c r="L82" s="3"/>
      <c r="M82" s="3">
        <v>0</v>
      </c>
      <c r="N82" s="3"/>
      <c r="O82" s="3">
        <v>3077</v>
      </c>
      <c r="P82" s="3"/>
      <c r="Q82" s="3">
        <v>57789</v>
      </c>
      <c r="R82" s="3"/>
      <c r="S82" s="3">
        <v>3819</v>
      </c>
      <c r="T82" s="3"/>
      <c r="U82" s="3">
        <v>0</v>
      </c>
      <c r="V82" s="3"/>
      <c r="W82" s="3">
        <v>0</v>
      </c>
      <c r="X82" s="3"/>
      <c r="Y82" s="3">
        <v>0</v>
      </c>
      <c r="Z82" s="3"/>
      <c r="AA82" s="3">
        <v>0</v>
      </c>
      <c r="AC82" s="9">
        <f t="shared" si="1"/>
        <v>828294</v>
      </c>
    </row>
    <row r="83" spans="1:29" s="9" customFormat="1" ht="12" hidden="1">
      <c r="A83" s="9" t="s">
        <v>154</v>
      </c>
      <c r="C83" s="9" t="s">
        <v>57</v>
      </c>
      <c r="E83" s="3">
        <v>0</v>
      </c>
      <c r="F83" s="3"/>
      <c r="G83" s="3">
        <v>0</v>
      </c>
      <c r="H83" s="3"/>
      <c r="I83" s="3">
        <v>0</v>
      </c>
      <c r="J83" s="3"/>
      <c r="K83" s="3">
        <v>0</v>
      </c>
      <c r="L83" s="3"/>
      <c r="M83" s="3">
        <v>0</v>
      </c>
      <c r="N83" s="3"/>
      <c r="O83" s="3">
        <v>0</v>
      </c>
      <c r="P83" s="3"/>
      <c r="Q83" s="3">
        <v>0</v>
      </c>
      <c r="R83" s="3"/>
      <c r="S83" s="3">
        <v>0</v>
      </c>
      <c r="T83" s="3"/>
      <c r="U83" s="3">
        <v>0</v>
      </c>
      <c r="V83" s="3"/>
      <c r="W83" s="3">
        <v>0</v>
      </c>
      <c r="X83" s="3"/>
      <c r="Y83" s="3">
        <v>0</v>
      </c>
      <c r="Z83" s="3"/>
      <c r="AA83" s="3">
        <v>0</v>
      </c>
      <c r="AC83" s="9">
        <f t="shared" si="1"/>
        <v>0</v>
      </c>
    </row>
    <row r="84" spans="1:29" s="9" customFormat="1" ht="12" hidden="1">
      <c r="A84" s="9" t="s">
        <v>155</v>
      </c>
      <c r="C84" s="9" t="s">
        <v>55</v>
      </c>
      <c r="E84" s="3">
        <v>0</v>
      </c>
      <c r="F84" s="3"/>
      <c r="G84" s="3">
        <v>0</v>
      </c>
      <c r="H84" s="3"/>
      <c r="I84" s="3">
        <v>0</v>
      </c>
      <c r="J84" s="3"/>
      <c r="K84" s="3">
        <v>0</v>
      </c>
      <c r="L84" s="3"/>
      <c r="M84" s="3">
        <v>0</v>
      </c>
      <c r="N84" s="3"/>
      <c r="O84" s="3">
        <v>0</v>
      </c>
      <c r="P84" s="3"/>
      <c r="Q84" s="3">
        <v>0</v>
      </c>
      <c r="R84" s="3"/>
      <c r="S84" s="3">
        <v>0</v>
      </c>
      <c r="T84" s="3"/>
      <c r="U84" s="3">
        <v>0</v>
      </c>
      <c r="V84" s="3"/>
      <c r="W84" s="3">
        <v>0</v>
      </c>
      <c r="X84" s="3"/>
      <c r="Y84" s="3">
        <v>0</v>
      </c>
      <c r="Z84" s="3"/>
      <c r="AA84" s="3">
        <v>0</v>
      </c>
      <c r="AC84" s="9">
        <f t="shared" si="1"/>
        <v>0</v>
      </c>
    </row>
    <row r="85" spans="1:62" s="9" customFormat="1" ht="12">
      <c r="A85" s="38" t="s">
        <v>385</v>
      </c>
      <c r="B85" s="38"/>
      <c r="C85" s="38" t="s">
        <v>143</v>
      </c>
      <c r="D85" s="38"/>
      <c r="E85" s="38">
        <v>143025.32</v>
      </c>
      <c r="F85" s="38"/>
      <c r="G85" s="38">
        <v>1186952.86</v>
      </c>
      <c r="H85" s="38"/>
      <c r="I85" s="38">
        <v>43392.19</v>
      </c>
      <c r="J85" s="38"/>
      <c r="K85" s="38">
        <v>40826.83</v>
      </c>
      <c r="L85" s="38"/>
      <c r="M85" s="38">
        <v>0</v>
      </c>
      <c r="N85" s="38"/>
      <c r="O85" s="38">
        <v>4627.58</v>
      </c>
      <c r="P85" s="38"/>
      <c r="Q85" s="38">
        <v>55593.03</v>
      </c>
      <c r="R85" s="38"/>
      <c r="S85" s="38">
        <v>11686.2</v>
      </c>
      <c r="T85" s="38"/>
      <c r="U85" s="38">
        <v>0</v>
      </c>
      <c r="V85" s="38"/>
      <c r="W85" s="38">
        <v>0</v>
      </c>
      <c r="X85" s="38"/>
      <c r="Y85" s="38">
        <v>0</v>
      </c>
      <c r="Z85" s="38"/>
      <c r="AA85" s="38">
        <v>0</v>
      </c>
      <c r="AB85" s="38"/>
      <c r="AC85" s="9">
        <f t="shared" si="1"/>
        <v>1486104.0100000002</v>
      </c>
      <c r="AD85" s="39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</row>
    <row r="86" spans="1:29" s="9" customFormat="1" ht="12">
      <c r="A86" s="9" t="s">
        <v>144</v>
      </c>
      <c r="C86" s="9" t="s">
        <v>93</v>
      </c>
      <c r="E86" s="3">
        <v>0</v>
      </c>
      <c r="F86" s="3"/>
      <c r="G86" s="3">
        <v>63772</v>
      </c>
      <c r="H86" s="3"/>
      <c r="I86" s="3">
        <v>23500</v>
      </c>
      <c r="J86" s="3"/>
      <c r="K86" s="3">
        <v>899</v>
      </c>
      <c r="L86" s="3"/>
      <c r="M86" s="3">
        <v>0</v>
      </c>
      <c r="N86" s="3"/>
      <c r="O86" s="3">
        <v>820</v>
      </c>
      <c r="P86" s="3"/>
      <c r="Q86" s="3">
        <v>25834</v>
      </c>
      <c r="R86" s="3"/>
      <c r="S86" s="3">
        <v>0</v>
      </c>
      <c r="T86" s="3"/>
      <c r="U86" s="3">
        <v>0</v>
      </c>
      <c r="V86" s="3"/>
      <c r="W86" s="3">
        <v>0</v>
      </c>
      <c r="X86" s="3"/>
      <c r="Y86" s="3">
        <v>0</v>
      </c>
      <c r="Z86" s="3"/>
      <c r="AA86" s="3">
        <v>0</v>
      </c>
      <c r="AC86" s="9">
        <f t="shared" si="1"/>
        <v>114825</v>
      </c>
    </row>
    <row r="87" spans="1:29" s="9" customFormat="1" ht="12" hidden="1">
      <c r="A87" s="9" t="s">
        <v>159</v>
      </c>
      <c r="C87" s="9" t="s">
        <v>58</v>
      </c>
      <c r="E87" s="3">
        <v>0</v>
      </c>
      <c r="F87" s="3"/>
      <c r="G87" s="3">
        <v>0</v>
      </c>
      <c r="H87" s="3"/>
      <c r="I87" s="3">
        <v>0</v>
      </c>
      <c r="J87" s="3"/>
      <c r="K87" s="3">
        <v>0</v>
      </c>
      <c r="L87" s="3"/>
      <c r="M87" s="3">
        <v>0</v>
      </c>
      <c r="N87" s="3"/>
      <c r="O87" s="3">
        <v>0</v>
      </c>
      <c r="P87" s="3"/>
      <c r="Q87" s="3">
        <v>0</v>
      </c>
      <c r="R87" s="3"/>
      <c r="S87" s="3">
        <v>0</v>
      </c>
      <c r="T87" s="3"/>
      <c r="U87" s="3">
        <v>0</v>
      </c>
      <c r="V87" s="3"/>
      <c r="W87" s="3">
        <v>0</v>
      </c>
      <c r="X87" s="3"/>
      <c r="Y87" s="3">
        <v>0</v>
      </c>
      <c r="Z87" s="3"/>
      <c r="AA87" s="3">
        <v>0</v>
      </c>
      <c r="AC87" s="9">
        <f t="shared" si="1"/>
        <v>0</v>
      </c>
    </row>
    <row r="88" spans="1:29" s="9" customFormat="1" ht="12" hidden="1">
      <c r="A88" s="9" t="s">
        <v>37</v>
      </c>
      <c r="C88" s="9" t="s">
        <v>59</v>
      </c>
      <c r="E88" s="3">
        <v>0</v>
      </c>
      <c r="F88" s="3"/>
      <c r="G88" s="3">
        <v>0</v>
      </c>
      <c r="H88" s="3"/>
      <c r="I88" s="3">
        <v>0</v>
      </c>
      <c r="J88" s="3"/>
      <c r="K88" s="3">
        <v>0</v>
      </c>
      <c r="L88" s="3"/>
      <c r="M88" s="3">
        <v>0</v>
      </c>
      <c r="N88" s="3"/>
      <c r="O88" s="3">
        <v>0</v>
      </c>
      <c r="P88" s="3"/>
      <c r="Q88" s="3">
        <v>0</v>
      </c>
      <c r="R88" s="3"/>
      <c r="S88" s="3">
        <v>0</v>
      </c>
      <c r="T88" s="3"/>
      <c r="U88" s="3">
        <v>0</v>
      </c>
      <c r="V88" s="3"/>
      <c r="W88" s="3">
        <v>0</v>
      </c>
      <c r="X88" s="3"/>
      <c r="Y88" s="3">
        <v>0</v>
      </c>
      <c r="Z88" s="3"/>
      <c r="AA88" s="3">
        <v>0</v>
      </c>
      <c r="AC88" s="9">
        <f t="shared" si="1"/>
        <v>0</v>
      </c>
    </row>
    <row r="89" spans="1:29" s="9" customFormat="1" ht="12" hidden="1">
      <c r="A89" s="9" t="s">
        <v>38</v>
      </c>
      <c r="C89" s="9" t="s">
        <v>27</v>
      </c>
      <c r="E89" s="3">
        <v>0</v>
      </c>
      <c r="F89" s="3"/>
      <c r="G89" s="3">
        <v>0</v>
      </c>
      <c r="H89" s="3"/>
      <c r="I89" s="3">
        <v>0</v>
      </c>
      <c r="J89" s="3"/>
      <c r="K89" s="3">
        <v>0</v>
      </c>
      <c r="L89" s="3"/>
      <c r="M89" s="3">
        <v>0</v>
      </c>
      <c r="N89" s="3"/>
      <c r="O89" s="3">
        <v>0</v>
      </c>
      <c r="P89" s="3"/>
      <c r="Q89" s="3">
        <v>0</v>
      </c>
      <c r="R89" s="3"/>
      <c r="S89" s="3">
        <v>0</v>
      </c>
      <c r="T89" s="3"/>
      <c r="U89" s="3">
        <v>0</v>
      </c>
      <c r="V89" s="3"/>
      <c r="W89" s="3">
        <v>0</v>
      </c>
      <c r="X89" s="3"/>
      <c r="Y89" s="3">
        <v>0</v>
      </c>
      <c r="Z89" s="3"/>
      <c r="AA89" s="3">
        <v>0</v>
      </c>
      <c r="AC89" s="9">
        <f t="shared" si="1"/>
        <v>0</v>
      </c>
    </row>
    <row r="90" spans="1:29" s="9" customFormat="1" ht="12" hidden="1">
      <c r="A90" s="9" t="s">
        <v>160</v>
      </c>
      <c r="C90" s="9" t="s">
        <v>60</v>
      </c>
      <c r="E90" s="3">
        <v>0</v>
      </c>
      <c r="F90" s="3"/>
      <c r="G90" s="3">
        <v>0</v>
      </c>
      <c r="H90" s="3"/>
      <c r="I90" s="3">
        <v>0</v>
      </c>
      <c r="J90" s="3"/>
      <c r="K90" s="3">
        <v>0</v>
      </c>
      <c r="L90" s="3"/>
      <c r="M90" s="3">
        <v>0</v>
      </c>
      <c r="N90" s="3"/>
      <c r="O90" s="3">
        <v>0</v>
      </c>
      <c r="P90" s="3"/>
      <c r="Q90" s="3">
        <v>0</v>
      </c>
      <c r="R90" s="3"/>
      <c r="S90" s="3">
        <v>0</v>
      </c>
      <c r="T90" s="3"/>
      <c r="U90" s="3">
        <v>0</v>
      </c>
      <c r="V90" s="3"/>
      <c r="W90" s="3">
        <v>0</v>
      </c>
      <c r="X90" s="3"/>
      <c r="Y90" s="3">
        <v>0</v>
      </c>
      <c r="Z90" s="3"/>
      <c r="AA90" s="3">
        <v>0</v>
      </c>
      <c r="AC90" s="9">
        <f t="shared" si="1"/>
        <v>0</v>
      </c>
    </row>
    <row r="91" spans="1:29" s="9" customFormat="1" ht="12" hidden="1">
      <c r="A91" s="9" t="s">
        <v>350</v>
      </c>
      <c r="C91" s="9" t="s">
        <v>46</v>
      </c>
      <c r="E91" s="3">
        <v>0</v>
      </c>
      <c r="F91" s="3"/>
      <c r="G91" s="3">
        <v>0</v>
      </c>
      <c r="H91" s="3"/>
      <c r="I91" s="3">
        <v>0</v>
      </c>
      <c r="J91" s="3"/>
      <c r="K91" s="3">
        <v>0</v>
      </c>
      <c r="L91" s="3"/>
      <c r="M91" s="3">
        <v>0</v>
      </c>
      <c r="N91" s="3"/>
      <c r="O91" s="3">
        <v>0</v>
      </c>
      <c r="P91" s="3"/>
      <c r="Q91" s="3">
        <v>0</v>
      </c>
      <c r="R91" s="3"/>
      <c r="S91" s="3">
        <v>0</v>
      </c>
      <c r="T91" s="3"/>
      <c r="U91" s="3">
        <v>0</v>
      </c>
      <c r="V91" s="3"/>
      <c r="W91" s="3">
        <v>0</v>
      </c>
      <c r="X91" s="3"/>
      <c r="Y91" s="3">
        <v>0</v>
      </c>
      <c r="Z91" s="3"/>
      <c r="AA91" s="3">
        <v>0</v>
      </c>
      <c r="AC91" s="9">
        <f t="shared" si="1"/>
        <v>0</v>
      </c>
    </row>
    <row r="92" spans="1:62" s="9" customFormat="1" ht="12">
      <c r="A92" s="38" t="s">
        <v>520</v>
      </c>
      <c r="B92" s="38"/>
      <c r="C92" s="38" t="s">
        <v>20</v>
      </c>
      <c r="D92" s="38"/>
      <c r="E92" s="38">
        <v>1006392.57</v>
      </c>
      <c r="F92" s="38"/>
      <c r="G92" s="38">
        <v>1519891.06</v>
      </c>
      <c r="H92" s="38"/>
      <c r="I92" s="38">
        <v>0</v>
      </c>
      <c r="J92" s="38"/>
      <c r="K92" s="38">
        <v>5298.06</v>
      </c>
      <c r="L92" s="38"/>
      <c r="M92" s="38">
        <v>0</v>
      </c>
      <c r="N92" s="38"/>
      <c r="O92" s="38">
        <v>109431</v>
      </c>
      <c r="P92" s="38"/>
      <c r="Q92" s="38">
        <v>37815.3</v>
      </c>
      <c r="R92" s="38"/>
      <c r="S92" s="38">
        <v>19898.03</v>
      </c>
      <c r="T92" s="38"/>
      <c r="U92" s="38">
        <v>0</v>
      </c>
      <c r="V92" s="38"/>
      <c r="W92" s="38">
        <v>0</v>
      </c>
      <c r="X92" s="38"/>
      <c r="Y92" s="38">
        <v>0</v>
      </c>
      <c r="Z92" s="38"/>
      <c r="AA92" s="38">
        <v>0</v>
      </c>
      <c r="AB92" s="38"/>
      <c r="AC92" s="9">
        <f t="shared" si="1"/>
        <v>2698726.0199999996</v>
      </c>
      <c r="AD92" s="39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</row>
    <row r="93" spans="1:62" s="9" customFormat="1" ht="12">
      <c r="A93" s="38" t="s">
        <v>521</v>
      </c>
      <c r="B93" s="38"/>
      <c r="C93" s="38" t="s">
        <v>54</v>
      </c>
      <c r="D93" s="38"/>
      <c r="E93" s="38">
        <v>0</v>
      </c>
      <c r="F93" s="38"/>
      <c r="G93" s="38">
        <v>445103.49</v>
      </c>
      <c r="H93" s="38"/>
      <c r="I93" s="38">
        <v>0</v>
      </c>
      <c r="J93" s="38"/>
      <c r="K93" s="38">
        <v>14803.47</v>
      </c>
      <c r="L93" s="38"/>
      <c r="M93" s="38">
        <v>0</v>
      </c>
      <c r="N93" s="38"/>
      <c r="O93" s="38">
        <v>11147.17</v>
      </c>
      <c r="P93" s="38"/>
      <c r="Q93" s="38">
        <v>20597.84</v>
      </c>
      <c r="R93" s="38"/>
      <c r="S93" s="38">
        <v>240</v>
      </c>
      <c r="T93" s="38"/>
      <c r="U93" s="38">
        <v>0</v>
      </c>
      <c r="V93" s="38"/>
      <c r="W93" s="38">
        <v>0</v>
      </c>
      <c r="X93" s="38"/>
      <c r="Y93" s="38">
        <v>0</v>
      </c>
      <c r="Z93" s="38"/>
      <c r="AA93" s="38">
        <v>0</v>
      </c>
      <c r="AB93" s="38"/>
      <c r="AC93" s="9">
        <f t="shared" si="1"/>
        <v>491891.97</v>
      </c>
      <c r="AD93" s="39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</row>
    <row r="94" spans="1:29" s="9" customFormat="1" ht="12">
      <c r="A94" s="9" t="s">
        <v>485</v>
      </c>
      <c r="C94" s="9" t="s">
        <v>21</v>
      </c>
      <c r="E94" s="3">
        <f>945064+1094311</f>
        <v>2039375</v>
      </c>
      <c r="F94" s="3"/>
      <c r="G94" s="3">
        <v>0</v>
      </c>
      <c r="H94" s="3"/>
      <c r="I94" s="3">
        <v>122594</v>
      </c>
      <c r="J94" s="3"/>
      <c r="K94" s="3">
        <v>57648</v>
      </c>
      <c r="L94" s="3"/>
      <c r="M94" s="3">
        <v>0</v>
      </c>
      <c r="N94" s="3"/>
      <c r="O94" s="3">
        <v>7957</v>
      </c>
      <c r="P94" s="3"/>
      <c r="Q94" s="3">
        <v>80894</v>
      </c>
      <c r="R94" s="3"/>
      <c r="S94" s="3">
        <v>3801</v>
      </c>
      <c r="T94" s="3"/>
      <c r="U94" s="3">
        <v>0</v>
      </c>
      <c r="V94" s="3"/>
      <c r="W94" s="3">
        <v>0</v>
      </c>
      <c r="X94" s="3"/>
      <c r="Y94" s="3">
        <v>0</v>
      </c>
      <c r="Z94" s="3"/>
      <c r="AA94" s="3">
        <v>0</v>
      </c>
      <c r="AC94" s="9">
        <f t="shared" si="1"/>
        <v>2312269</v>
      </c>
    </row>
    <row r="95" spans="1:29" s="9" customFormat="1" ht="12">
      <c r="A95" s="9" t="s">
        <v>146</v>
      </c>
      <c r="C95" s="9" t="s">
        <v>60</v>
      </c>
      <c r="E95" s="3">
        <v>914846</v>
      </c>
      <c r="F95" s="3"/>
      <c r="G95" s="3">
        <v>2549974</v>
      </c>
      <c r="H95" s="3"/>
      <c r="I95" s="3">
        <v>0</v>
      </c>
      <c r="J95" s="3"/>
      <c r="K95" s="3">
        <v>107291</v>
      </c>
      <c r="L95" s="3"/>
      <c r="M95" s="3">
        <v>0</v>
      </c>
      <c r="N95" s="3"/>
      <c r="O95" s="3">
        <v>42788</v>
      </c>
      <c r="P95" s="3"/>
      <c r="Q95" s="3">
        <v>108862</v>
      </c>
      <c r="R95" s="3"/>
      <c r="S95" s="3">
        <v>3392</v>
      </c>
      <c r="T95" s="3"/>
      <c r="U95" s="3">
        <v>0</v>
      </c>
      <c r="V95" s="3"/>
      <c r="W95" s="3">
        <v>0</v>
      </c>
      <c r="X95" s="3"/>
      <c r="Y95" s="3">
        <v>0</v>
      </c>
      <c r="Z95" s="3"/>
      <c r="AA95" s="3">
        <v>0</v>
      </c>
      <c r="AC95" s="9">
        <f t="shared" si="1"/>
        <v>3727153</v>
      </c>
    </row>
    <row r="96" spans="1:29" s="9" customFormat="1" ht="12" hidden="1">
      <c r="A96" s="9" t="s">
        <v>166</v>
      </c>
      <c r="C96" s="9" t="s">
        <v>84</v>
      </c>
      <c r="E96" s="3">
        <v>0</v>
      </c>
      <c r="F96" s="3"/>
      <c r="G96" s="3">
        <v>0</v>
      </c>
      <c r="H96" s="3"/>
      <c r="I96" s="3">
        <v>0</v>
      </c>
      <c r="J96" s="3"/>
      <c r="K96" s="3">
        <v>0</v>
      </c>
      <c r="L96" s="3"/>
      <c r="M96" s="3">
        <v>0</v>
      </c>
      <c r="N96" s="3"/>
      <c r="O96" s="3">
        <v>0</v>
      </c>
      <c r="P96" s="3"/>
      <c r="Q96" s="3">
        <v>0</v>
      </c>
      <c r="R96" s="3"/>
      <c r="S96" s="3">
        <v>0</v>
      </c>
      <c r="T96" s="3"/>
      <c r="U96" s="3">
        <v>0</v>
      </c>
      <c r="V96" s="3"/>
      <c r="W96" s="3">
        <v>0</v>
      </c>
      <c r="X96" s="3"/>
      <c r="Y96" s="3">
        <v>0</v>
      </c>
      <c r="Z96" s="3"/>
      <c r="AA96" s="3">
        <v>0</v>
      </c>
      <c r="AC96" s="9">
        <f t="shared" si="1"/>
        <v>0</v>
      </c>
    </row>
    <row r="97" spans="1:29" s="9" customFormat="1" ht="12">
      <c r="A97" s="9" t="s">
        <v>19</v>
      </c>
      <c r="C97" s="9" t="s">
        <v>20</v>
      </c>
      <c r="E97" s="3">
        <v>2692963</v>
      </c>
      <c r="F97" s="3"/>
      <c r="G97" s="3">
        <v>0</v>
      </c>
      <c r="H97" s="3"/>
      <c r="I97" s="3">
        <v>2418323</v>
      </c>
      <c r="J97" s="3"/>
      <c r="K97" s="3">
        <v>139550</v>
      </c>
      <c r="L97" s="3"/>
      <c r="M97" s="3">
        <v>0</v>
      </c>
      <c r="N97" s="3"/>
      <c r="O97" s="3">
        <v>1338</v>
      </c>
      <c r="P97" s="3"/>
      <c r="Q97" s="3">
        <v>238948</v>
      </c>
      <c r="R97" s="3"/>
      <c r="S97" s="3">
        <v>7089</v>
      </c>
      <c r="T97" s="3"/>
      <c r="U97" s="3">
        <v>0</v>
      </c>
      <c r="V97" s="3"/>
      <c r="W97" s="3">
        <v>0</v>
      </c>
      <c r="X97" s="3"/>
      <c r="Y97" s="3">
        <v>0</v>
      </c>
      <c r="Z97" s="3"/>
      <c r="AA97" s="3">
        <v>0</v>
      </c>
      <c r="AC97" s="9">
        <f t="shared" si="1"/>
        <v>5498211</v>
      </c>
    </row>
    <row r="98" spans="1:29" s="9" customFormat="1" ht="12" hidden="1">
      <c r="A98" s="9" t="s">
        <v>169</v>
      </c>
      <c r="C98" s="9" t="s">
        <v>46</v>
      </c>
      <c r="E98" s="3">
        <v>0</v>
      </c>
      <c r="F98" s="3"/>
      <c r="G98" s="3">
        <v>0</v>
      </c>
      <c r="H98" s="3"/>
      <c r="I98" s="3">
        <v>0</v>
      </c>
      <c r="J98" s="3"/>
      <c r="K98" s="3">
        <v>0</v>
      </c>
      <c r="L98" s="3"/>
      <c r="M98" s="3">
        <v>0</v>
      </c>
      <c r="N98" s="3"/>
      <c r="O98" s="3">
        <v>0</v>
      </c>
      <c r="P98" s="3"/>
      <c r="Q98" s="3">
        <v>0</v>
      </c>
      <c r="R98" s="3"/>
      <c r="S98" s="3">
        <v>0</v>
      </c>
      <c r="T98" s="3"/>
      <c r="U98" s="3">
        <v>0</v>
      </c>
      <c r="V98" s="3"/>
      <c r="W98" s="3">
        <v>0</v>
      </c>
      <c r="X98" s="3"/>
      <c r="Y98" s="3">
        <v>0</v>
      </c>
      <c r="Z98" s="3"/>
      <c r="AA98" s="3">
        <v>0</v>
      </c>
      <c r="AC98" s="9">
        <f t="shared" si="1"/>
        <v>0</v>
      </c>
    </row>
    <row r="99" spans="1:62" s="9" customFormat="1" ht="12">
      <c r="A99" s="38" t="s">
        <v>147</v>
      </c>
      <c r="B99" s="38"/>
      <c r="C99" s="38" t="s">
        <v>45</v>
      </c>
      <c r="D99" s="38"/>
      <c r="E99" s="38">
        <v>0</v>
      </c>
      <c r="F99" s="38"/>
      <c r="G99" s="38">
        <v>324508.04</v>
      </c>
      <c r="H99" s="38"/>
      <c r="I99" s="38">
        <v>0</v>
      </c>
      <c r="J99" s="38"/>
      <c r="K99" s="38">
        <v>8286.77</v>
      </c>
      <c r="L99" s="38"/>
      <c r="M99" s="38">
        <v>0</v>
      </c>
      <c r="N99" s="38"/>
      <c r="O99" s="38">
        <v>4714.53</v>
      </c>
      <c r="P99" s="38"/>
      <c r="Q99" s="38">
        <v>2460.62</v>
      </c>
      <c r="R99" s="38"/>
      <c r="S99" s="38">
        <v>10199.52</v>
      </c>
      <c r="T99" s="38"/>
      <c r="U99" s="38">
        <v>0</v>
      </c>
      <c r="V99" s="38"/>
      <c r="W99" s="38">
        <v>0</v>
      </c>
      <c r="X99" s="38"/>
      <c r="Y99" s="38">
        <v>0</v>
      </c>
      <c r="Z99" s="38"/>
      <c r="AA99" s="38">
        <v>0</v>
      </c>
      <c r="AB99" s="38"/>
      <c r="AC99" s="9">
        <f t="shared" si="1"/>
        <v>350169.48000000004</v>
      </c>
      <c r="AD99" s="39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</row>
    <row r="100" spans="1:29" s="9" customFormat="1" ht="12">
      <c r="A100" s="9" t="s">
        <v>496</v>
      </c>
      <c r="C100" s="9" t="s">
        <v>70</v>
      </c>
      <c r="E100" s="3">
        <v>920554</v>
      </c>
      <c r="F100" s="3"/>
      <c r="G100" s="3">
        <v>2855370</v>
      </c>
      <c r="H100" s="3"/>
      <c r="I100" s="3">
        <v>7966</v>
      </c>
      <c r="J100" s="3"/>
      <c r="K100" s="3">
        <v>171036</v>
      </c>
      <c r="L100" s="3"/>
      <c r="M100" s="3">
        <v>0</v>
      </c>
      <c r="N100" s="3"/>
      <c r="O100" s="3">
        <v>0</v>
      </c>
      <c r="P100" s="3"/>
      <c r="Q100" s="3">
        <v>48502</v>
      </c>
      <c r="R100" s="3"/>
      <c r="S100" s="3">
        <v>6644</v>
      </c>
      <c r="T100" s="3"/>
      <c r="U100" s="3">
        <v>0</v>
      </c>
      <c r="V100" s="3"/>
      <c r="W100" s="3">
        <v>0</v>
      </c>
      <c r="X100" s="3"/>
      <c r="Y100" s="3">
        <v>0</v>
      </c>
      <c r="Z100" s="3"/>
      <c r="AA100" s="3">
        <v>0</v>
      </c>
      <c r="AC100" s="9">
        <f t="shared" si="1"/>
        <v>4010072</v>
      </c>
    </row>
    <row r="101" spans="1:29" s="9" customFormat="1" ht="12" hidden="1">
      <c r="A101" s="9" t="s">
        <v>351</v>
      </c>
      <c r="C101" s="9" t="s">
        <v>46</v>
      </c>
      <c r="E101" s="3">
        <v>0</v>
      </c>
      <c r="F101" s="3"/>
      <c r="G101" s="3">
        <v>0</v>
      </c>
      <c r="H101" s="3"/>
      <c r="I101" s="3">
        <v>0</v>
      </c>
      <c r="J101" s="3"/>
      <c r="K101" s="3">
        <v>0</v>
      </c>
      <c r="L101" s="3"/>
      <c r="M101" s="3">
        <v>0</v>
      </c>
      <c r="N101" s="3"/>
      <c r="O101" s="3">
        <v>0</v>
      </c>
      <c r="P101" s="3"/>
      <c r="Q101" s="3">
        <v>0</v>
      </c>
      <c r="R101" s="3"/>
      <c r="S101" s="3">
        <v>0</v>
      </c>
      <c r="T101" s="3"/>
      <c r="U101" s="3">
        <v>0</v>
      </c>
      <c r="V101" s="3"/>
      <c r="W101" s="3">
        <v>0</v>
      </c>
      <c r="X101" s="3"/>
      <c r="Y101" s="3">
        <v>0</v>
      </c>
      <c r="Z101" s="3"/>
      <c r="AA101" s="3">
        <v>0</v>
      </c>
      <c r="AC101" s="9">
        <f t="shared" si="1"/>
        <v>0</v>
      </c>
    </row>
    <row r="102" spans="5:29" s="9" customFormat="1" ht="12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C102" s="21" t="s">
        <v>8</v>
      </c>
    </row>
    <row r="103" spans="1:29" s="20" customFormat="1" ht="12">
      <c r="A103" s="20" t="s">
        <v>148</v>
      </c>
      <c r="C103" s="20" t="s">
        <v>16</v>
      </c>
      <c r="E103" s="4">
        <v>118957</v>
      </c>
      <c r="F103" s="4"/>
      <c r="G103" s="4">
        <v>298193</v>
      </c>
      <c r="H103" s="4"/>
      <c r="I103" s="4">
        <v>0</v>
      </c>
      <c r="J103" s="4"/>
      <c r="K103" s="4">
        <v>3435</v>
      </c>
      <c r="L103" s="4"/>
      <c r="M103" s="4">
        <v>0</v>
      </c>
      <c r="N103" s="4"/>
      <c r="O103" s="4">
        <v>860</v>
      </c>
      <c r="P103" s="4"/>
      <c r="Q103" s="4">
        <v>15664</v>
      </c>
      <c r="R103" s="4"/>
      <c r="S103" s="4">
        <v>7971</v>
      </c>
      <c r="T103" s="4"/>
      <c r="U103" s="4">
        <v>0</v>
      </c>
      <c r="V103" s="4"/>
      <c r="W103" s="4">
        <v>0</v>
      </c>
      <c r="X103" s="4"/>
      <c r="Y103" s="4">
        <v>0</v>
      </c>
      <c r="Z103" s="4"/>
      <c r="AA103" s="4">
        <v>0</v>
      </c>
      <c r="AC103" s="20">
        <f t="shared" si="1"/>
        <v>445080</v>
      </c>
    </row>
    <row r="104" spans="1:29" s="9" customFormat="1" ht="12" hidden="1">
      <c r="A104" s="9" t="s">
        <v>39</v>
      </c>
      <c r="C104" s="9" t="s">
        <v>60</v>
      </c>
      <c r="E104" s="3">
        <v>0</v>
      </c>
      <c r="F104" s="3"/>
      <c r="G104" s="3">
        <v>0</v>
      </c>
      <c r="H104" s="3"/>
      <c r="I104" s="3">
        <v>0</v>
      </c>
      <c r="J104" s="3"/>
      <c r="K104" s="3">
        <v>0</v>
      </c>
      <c r="L104" s="3"/>
      <c r="M104" s="3">
        <v>0</v>
      </c>
      <c r="N104" s="3"/>
      <c r="O104" s="3">
        <v>0</v>
      </c>
      <c r="P104" s="3"/>
      <c r="Q104" s="3">
        <v>0</v>
      </c>
      <c r="R104" s="3"/>
      <c r="S104" s="3">
        <v>0</v>
      </c>
      <c r="T104" s="3"/>
      <c r="U104" s="3">
        <v>0</v>
      </c>
      <c r="V104" s="3"/>
      <c r="W104" s="3">
        <v>0</v>
      </c>
      <c r="X104" s="3"/>
      <c r="Y104" s="3">
        <v>0</v>
      </c>
      <c r="Z104" s="3"/>
      <c r="AA104" s="3">
        <v>0</v>
      </c>
      <c r="AC104" s="9">
        <f t="shared" si="1"/>
        <v>0</v>
      </c>
    </row>
    <row r="105" spans="1:29" s="9" customFormat="1" ht="12" hidden="1">
      <c r="A105" s="9" t="s">
        <v>176</v>
      </c>
      <c r="C105" s="9" t="s">
        <v>61</v>
      </c>
      <c r="E105" s="3">
        <v>0</v>
      </c>
      <c r="F105" s="3"/>
      <c r="G105" s="3">
        <v>0</v>
      </c>
      <c r="H105" s="3"/>
      <c r="I105" s="3">
        <v>0</v>
      </c>
      <c r="J105" s="3"/>
      <c r="K105" s="3">
        <v>0</v>
      </c>
      <c r="L105" s="3"/>
      <c r="M105" s="3">
        <v>0</v>
      </c>
      <c r="N105" s="3"/>
      <c r="O105" s="3">
        <v>0</v>
      </c>
      <c r="P105" s="3"/>
      <c r="Q105" s="3">
        <v>0</v>
      </c>
      <c r="R105" s="3"/>
      <c r="S105" s="3">
        <v>0</v>
      </c>
      <c r="T105" s="3"/>
      <c r="U105" s="3">
        <v>0</v>
      </c>
      <c r="V105" s="3"/>
      <c r="W105" s="3">
        <v>0</v>
      </c>
      <c r="X105" s="3"/>
      <c r="Y105" s="3">
        <v>0</v>
      </c>
      <c r="Z105" s="3"/>
      <c r="AA105" s="3">
        <v>0</v>
      </c>
      <c r="AC105" s="9">
        <f t="shared" si="1"/>
        <v>0</v>
      </c>
    </row>
    <row r="106" spans="1:29" s="9" customFormat="1" ht="12">
      <c r="A106" s="9" t="s">
        <v>149</v>
      </c>
      <c r="C106" s="9" t="s">
        <v>150</v>
      </c>
      <c r="E106" s="3">
        <v>0</v>
      </c>
      <c r="F106" s="3"/>
      <c r="G106" s="3">
        <v>0</v>
      </c>
      <c r="H106" s="3"/>
      <c r="I106" s="3">
        <v>2513324</v>
      </c>
      <c r="J106" s="3"/>
      <c r="K106" s="3">
        <v>73231</v>
      </c>
      <c r="L106" s="3"/>
      <c r="M106" s="3">
        <v>0</v>
      </c>
      <c r="N106" s="3"/>
      <c r="O106" s="3">
        <v>40017</v>
      </c>
      <c r="P106" s="3"/>
      <c r="Q106" s="3">
        <v>92202</v>
      </c>
      <c r="R106" s="3"/>
      <c r="S106" s="3">
        <v>66159</v>
      </c>
      <c r="T106" s="3"/>
      <c r="U106" s="3">
        <v>0</v>
      </c>
      <c r="V106" s="3"/>
      <c r="W106" s="3">
        <v>0</v>
      </c>
      <c r="X106" s="3"/>
      <c r="Y106" s="3">
        <v>0</v>
      </c>
      <c r="Z106" s="3"/>
      <c r="AA106" s="3">
        <v>0</v>
      </c>
      <c r="AC106" s="9">
        <f t="shared" si="1"/>
        <v>2784933</v>
      </c>
    </row>
    <row r="107" spans="1:29" s="9" customFormat="1" ht="12" hidden="1">
      <c r="A107" s="9" t="s">
        <v>352</v>
      </c>
      <c r="C107" s="9" t="s">
        <v>178</v>
      </c>
      <c r="E107" s="3">
        <v>0</v>
      </c>
      <c r="F107" s="3"/>
      <c r="G107" s="3">
        <v>0</v>
      </c>
      <c r="H107" s="3"/>
      <c r="I107" s="3">
        <v>0</v>
      </c>
      <c r="J107" s="3"/>
      <c r="K107" s="3">
        <v>0</v>
      </c>
      <c r="L107" s="3"/>
      <c r="M107" s="3">
        <v>0</v>
      </c>
      <c r="N107" s="3"/>
      <c r="O107" s="3">
        <v>0</v>
      </c>
      <c r="P107" s="3"/>
      <c r="Q107" s="3">
        <v>0</v>
      </c>
      <c r="R107" s="3"/>
      <c r="S107" s="3">
        <v>0</v>
      </c>
      <c r="T107" s="3"/>
      <c r="U107" s="3">
        <v>0</v>
      </c>
      <c r="V107" s="3"/>
      <c r="W107" s="3">
        <v>0</v>
      </c>
      <c r="X107" s="3"/>
      <c r="Y107" s="3">
        <v>0</v>
      </c>
      <c r="Z107" s="3"/>
      <c r="AA107" s="3">
        <v>0</v>
      </c>
      <c r="AC107" s="9">
        <f t="shared" si="1"/>
        <v>0</v>
      </c>
    </row>
    <row r="108" spans="1:29" s="9" customFormat="1" ht="12" hidden="1">
      <c r="A108" s="9" t="s">
        <v>353</v>
      </c>
      <c r="C108" s="9" t="s">
        <v>44</v>
      </c>
      <c r="E108" s="3">
        <v>0</v>
      </c>
      <c r="F108" s="3"/>
      <c r="G108" s="3">
        <v>0</v>
      </c>
      <c r="H108" s="3"/>
      <c r="I108" s="3">
        <v>0</v>
      </c>
      <c r="J108" s="3"/>
      <c r="K108" s="3">
        <v>0</v>
      </c>
      <c r="L108" s="3"/>
      <c r="M108" s="3">
        <v>0</v>
      </c>
      <c r="N108" s="3"/>
      <c r="O108" s="3">
        <v>0</v>
      </c>
      <c r="P108" s="3"/>
      <c r="Q108" s="3">
        <v>0</v>
      </c>
      <c r="R108" s="3"/>
      <c r="S108" s="3">
        <v>0</v>
      </c>
      <c r="T108" s="3"/>
      <c r="U108" s="3">
        <v>0</v>
      </c>
      <c r="V108" s="3"/>
      <c r="W108" s="3">
        <v>0</v>
      </c>
      <c r="X108" s="3"/>
      <c r="Y108" s="3">
        <v>0</v>
      </c>
      <c r="Z108" s="3"/>
      <c r="AA108" s="3">
        <v>0</v>
      </c>
      <c r="AC108" s="9">
        <f t="shared" si="1"/>
        <v>0</v>
      </c>
    </row>
    <row r="109" spans="1:29" s="9" customFormat="1" ht="12" hidden="1">
      <c r="A109" s="9" t="s">
        <v>179</v>
      </c>
      <c r="C109" s="9" t="s">
        <v>59</v>
      </c>
      <c r="E109" s="3">
        <v>0</v>
      </c>
      <c r="F109" s="3"/>
      <c r="G109" s="3">
        <v>0</v>
      </c>
      <c r="H109" s="3"/>
      <c r="I109" s="3">
        <v>0</v>
      </c>
      <c r="J109" s="3"/>
      <c r="K109" s="3">
        <v>0</v>
      </c>
      <c r="L109" s="3"/>
      <c r="M109" s="3">
        <v>0</v>
      </c>
      <c r="N109" s="3"/>
      <c r="O109" s="3">
        <v>0</v>
      </c>
      <c r="P109" s="3"/>
      <c r="Q109" s="3">
        <v>0</v>
      </c>
      <c r="R109" s="3"/>
      <c r="S109" s="3">
        <v>0</v>
      </c>
      <c r="T109" s="3"/>
      <c r="U109" s="3">
        <v>0</v>
      </c>
      <c r="V109" s="3"/>
      <c r="W109" s="3">
        <v>0</v>
      </c>
      <c r="X109" s="3"/>
      <c r="Y109" s="3">
        <v>0</v>
      </c>
      <c r="Z109" s="3"/>
      <c r="AA109" s="3">
        <v>0</v>
      </c>
      <c r="AC109" s="9">
        <f t="shared" si="1"/>
        <v>0</v>
      </c>
    </row>
    <row r="110" spans="1:62" s="9" customFormat="1" ht="12">
      <c r="A110" s="38" t="s">
        <v>522</v>
      </c>
      <c r="B110" s="38"/>
      <c r="C110" s="38" t="s">
        <v>150</v>
      </c>
      <c r="D110" s="38"/>
      <c r="E110" s="38">
        <v>0</v>
      </c>
      <c r="F110" s="38"/>
      <c r="G110" s="38">
        <v>2513323.86</v>
      </c>
      <c r="H110" s="38"/>
      <c r="I110" s="38">
        <v>0</v>
      </c>
      <c r="J110" s="38"/>
      <c r="K110" s="38">
        <v>73230.62</v>
      </c>
      <c r="L110" s="38"/>
      <c r="M110" s="38">
        <v>0</v>
      </c>
      <c r="N110" s="38"/>
      <c r="O110" s="38">
        <v>35515.92</v>
      </c>
      <c r="P110" s="38"/>
      <c r="Q110" s="38">
        <v>92202.19</v>
      </c>
      <c r="R110" s="38"/>
      <c r="S110" s="38">
        <v>570660.3</v>
      </c>
      <c r="T110" s="38"/>
      <c r="U110" s="38">
        <v>0</v>
      </c>
      <c r="V110" s="38"/>
      <c r="W110" s="38">
        <v>0</v>
      </c>
      <c r="X110" s="38"/>
      <c r="Y110" s="38">
        <v>0</v>
      </c>
      <c r="Z110" s="38"/>
      <c r="AA110" s="38">
        <v>0</v>
      </c>
      <c r="AB110" s="38"/>
      <c r="AC110" s="9">
        <f t="shared" si="1"/>
        <v>3284932.8899999997</v>
      </c>
      <c r="AD110" s="39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</row>
    <row r="111" spans="1:62" s="9" customFormat="1" ht="12">
      <c r="A111" s="38" t="s">
        <v>151</v>
      </c>
      <c r="B111" s="38"/>
      <c r="C111" s="38" t="s">
        <v>56</v>
      </c>
      <c r="D111" s="38"/>
      <c r="E111" s="38">
        <v>0</v>
      </c>
      <c r="F111" s="38"/>
      <c r="G111" s="38">
        <v>799936.08</v>
      </c>
      <c r="H111" s="38"/>
      <c r="I111" s="38">
        <v>0</v>
      </c>
      <c r="J111" s="38"/>
      <c r="K111" s="38">
        <v>16245.39</v>
      </c>
      <c r="L111" s="38"/>
      <c r="M111" s="38">
        <v>0</v>
      </c>
      <c r="N111" s="38"/>
      <c r="O111" s="38">
        <v>6652.5</v>
      </c>
      <c r="P111" s="38"/>
      <c r="Q111" s="38">
        <v>13352.5</v>
      </c>
      <c r="R111" s="38"/>
      <c r="S111" s="38">
        <v>2262.29</v>
      </c>
      <c r="T111" s="38"/>
      <c r="U111" s="38">
        <v>0</v>
      </c>
      <c r="V111" s="38"/>
      <c r="W111" s="38">
        <v>0</v>
      </c>
      <c r="X111" s="38"/>
      <c r="Y111" s="38">
        <v>0</v>
      </c>
      <c r="Z111" s="38"/>
      <c r="AA111" s="38">
        <v>0</v>
      </c>
      <c r="AB111" s="38"/>
      <c r="AC111" s="9">
        <f t="shared" si="1"/>
        <v>838448.76</v>
      </c>
      <c r="AD111" s="39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</row>
    <row r="112" spans="1:29" s="9" customFormat="1" ht="12" hidden="1">
      <c r="A112" s="9" t="s">
        <v>40</v>
      </c>
      <c r="C112" s="9" t="s">
        <v>13</v>
      </c>
      <c r="E112" s="3">
        <v>0</v>
      </c>
      <c r="F112" s="3"/>
      <c r="G112" s="3">
        <v>0</v>
      </c>
      <c r="H112" s="3"/>
      <c r="I112" s="3">
        <v>0</v>
      </c>
      <c r="J112" s="3"/>
      <c r="K112" s="3">
        <v>0</v>
      </c>
      <c r="L112" s="3"/>
      <c r="M112" s="3">
        <v>0</v>
      </c>
      <c r="N112" s="3"/>
      <c r="O112" s="3">
        <v>0</v>
      </c>
      <c r="P112" s="3"/>
      <c r="Q112" s="3">
        <v>0</v>
      </c>
      <c r="R112" s="3"/>
      <c r="S112" s="3">
        <v>0</v>
      </c>
      <c r="T112" s="3"/>
      <c r="U112" s="3">
        <v>0</v>
      </c>
      <c r="V112" s="3"/>
      <c r="W112" s="3">
        <v>0</v>
      </c>
      <c r="X112" s="3"/>
      <c r="Y112" s="3">
        <v>0</v>
      </c>
      <c r="Z112" s="3"/>
      <c r="AA112" s="3">
        <v>0</v>
      </c>
      <c r="AC112" s="9">
        <f t="shared" si="1"/>
        <v>0</v>
      </c>
    </row>
    <row r="113" spans="1:62" s="9" customFormat="1" ht="12">
      <c r="A113" s="38" t="s">
        <v>152</v>
      </c>
      <c r="B113" s="38"/>
      <c r="C113" s="38" t="s">
        <v>64</v>
      </c>
      <c r="D113" s="38"/>
      <c r="E113" s="38">
        <v>0</v>
      </c>
      <c r="F113" s="38"/>
      <c r="G113" s="38">
        <v>110044.51</v>
      </c>
      <c r="H113" s="38"/>
      <c r="I113" s="38">
        <v>155.8</v>
      </c>
      <c r="J113" s="38"/>
      <c r="K113" s="38">
        <v>2749.73</v>
      </c>
      <c r="L113" s="38"/>
      <c r="M113" s="38">
        <v>0</v>
      </c>
      <c r="N113" s="38"/>
      <c r="O113" s="38">
        <v>4498.47</v>
      </c>
      <c r="P113" s="38"/>
      <c r="Q113" s="38">
        <v>1985.12</v>
      </c>
      <c r="R113" s="38"/>
      <c r="S113" s="38">
        <v>815.66</v>
      </c>
      <c r="T113" s="38"/>
      <c r="U113" s="38">
        <v>0</v>
      </c>
      <c r="V113" s="38"/>
      <c r="W113" s="38">
        <v>0</v>
      </c>
      <c r="X113" s="38"/>
      <c r="Y113" s="38">
        <v>0</v>
      </c>
      <c r="Z113" s="38"/>
      <c r="AA113" s="38">
        <v>0</v>
      </c>
      <c r="AB113" s="38"/>
      <c r="AC113" s="9">
        <f aca="true" t="shared" si="2" ref="AC113:AC175">SUM(E113:AA113)</f>
        <v>120249.29</v>
      </c>
      <c r="AD113" s="39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</row>
    <row r="114" spans="1:29" s="9" customFormat="1" ht="12" hidden="1">
      <c r="A114" s="9" t="s">
        <v>184</v>
      </c>
      <c r="C114" s="9" t="s">
        <v>56</v>
      </c>
      <c r="E114" s="3">
        <v>0</v>
      </c>
      <c r="F114" s="3"/>
      <c r="G114" s="3">
        <v>0</v>
      </c>
      <c r="H114" s="3"/>
      <c r="I114" s="3">
        <v>0</v>
      </c>
      <c r="J114" s="3"/>
      <c r="K114" s="3">
        <v>0</v>
      </c>
      <c r="L114" s="3"/>
      <c r="M114" s="3">
        <v>0</v>
      </c>
      <c r="N114" s="3"/>
      <c r="O114" s="3">
        <v>0</v>
      </c>
      <c r="P114" s="3"/>
      <c r="Q114" s="3">
        <v>0</v>
      </c>
      <c r="R114" s="3"/>
      <c r="S114" s="3">
        <v>0</v>
      </c>
      <c r="T114" s="3"/>
      <c r="U114" s="3">
        <v>0</v>
      </c>
      <c r="V114" s="3"/>
      <c r="W114" s="3">
        <v>0</v>
      </c>
      <c r="X114" s="3"/>
      <c r="Y114" s="3">
        <v>0</v>
      </c>
      <c r="Z114" s="3"/>
      <c r="AA114" s="3">
        <v>0</v>
      </c>
      <c r="AC114" s="9">
        <f t="shared" si="2"/>
        <v>0</v>
      </c>
    </row>
    <row r="115" spans="1:29" s="9" customFormat="1" ht="12" hidden="1">
      <c r="A115" s="9" t="s">
        <v>185</v>
      </c>
      <c r="C115" s="9" t="s">
        <v>186</v>
      </c>
      <c r="E115" s="3">
        <v>0</v>
      </c>
      <c r="F115" s="3"/>
      <c r="G115" s="3">
        <v>0</v>
      </c>
      <c r="H115" s="3"/>
      <c r="I115" s="3">
        <v>0</v>
      </c>
      <c r="J115" s="3"/>
      <c r="K115" s="3">
        <v>0</v>
      </c>
      <c r="L115" s="3"/>
      <c r="M115" s="3">
        <v>0</v>
      </c>
      <c r="N115" s="3"/>
      <c r="O115" s="3">
        <v>0</v>
      </c>
      <c r="P115" s="3"/>
      <c r="Q115" s="3">
        <v>0</v>
      </c>
      <c r="R115" s="3"/>
      <c r="S115" s="3">
        <v>0</v>
      </c>
      <c r="T115" s="3"/>
      <c r="U115" s="3">
        <v>0</v>
      </c>
      <c r="V115" s="3"/>
      <c r="W115" s="3">
        <v>0</v>
      </c>
      <c r="X115" s="3"/>
      <c r="Y115" s="3">
        <v>0</v>
      </c>
      <c r="Z115" s="3"/>
      <c r="AA115" s="3">
        <v>0</v>
      </c>
      <c r="AC115" s="9">
        <f t="shared" si="2"/>
        <v>0</v>
      </c>
    </row>
    <row r="116" spans="1:29" s="9" customFormat="1" ht="12" hidden="1">
      <c r="A116" s="9" t="s">
        <v>187</v>
      </c>
      <c r="C116" s="9" t="s">
        <v>62</v>
      </c>
      <c r="E116" s="3">
        <v>0</v>
      </c>
      <c r="F116" s="3"/>
      <c r="G116" s="3">
        <v>0</v>
      </c>
      <c r="H116" s="3"/>
      <c r="I116" s="3">
        <v>0</v>
      </c>
      <c r="J116" s="3"/>
      <c r="K116" s="3">
        <v>0</v>
      </c>
      <c r="L116" s="3"/>
      <c r="M116" s="3">
        <v>0</v>
      </c>
      <c r="N116" s="3"/>
      <c r="O116" s="3">
        <v>0</v>
      </c>
      <c r="P116" s="3"/>
      <c r="Q116" s="3">
        <v>0</v>
      </c>
      <c r="R116" s="3"/>
      <c r="S116" s="3">
        <v>0</v>
      </c>
      <c r="T116" s="3"/>
      <c r="U116" s="3">
        <v>0</v>
      </c>
      <c r="V116" s="3"/>
      <c r="W116" s="3">
        <v>0</v>
      </c>
      <c r="X116" s="3"/>
      <c r="Y116" s="3">
        <v>0</v>
      </c>
      <c r="Z116" s="3"/>
      <c r="AA116" s="3">
        <v>0</v>
      </c>
      <c r="AC116" s="9">
        <f t="shared" si="2"/>
        <v>0</v>
      </c>
    </row>
    <row r="117" spans="1:29" s="9" customFormat="1" ht="12">
      <c r="A117" s="9" t="s">
        <v>153</v>
      </c>
      <c r="C117" s="9" t="s">
        <v>53</v>
      </c>
      <c r="E117" s="3">
        <v>0</v>
      </c>
      <c r="F117" s="3"/>
      <c r="G117" s="3">
        <v>112212</v>
      </c>
      <c r="H117" s="3"/>
      <c r="I117" s="3">
        <v>0</v>
      </c>
      <c r="J117" s="3"/>
      <c r="K117" s="3">
        <v>2460</v>
      </c>
      <c r="L117" s="3"/>
      <c r="M117" s="3">
        <v>0</v>
      </c>
      <c r="N117" s="3"/>
      <c r="O117" s="3">
        <v>8557</v>
      </c>
      <c r="P117" s="3"/>
      <c r="Q117" s="3">
        <v>393</v>
      </c>
      <c r="R117" s="3"/>
      <c r="S117" s="3">
        <v>1368</v>
      </c>
      <c r="T117" s="3"/>
      <c r="U117" s="3">
        <v>0</v>
      </c>
      <c r="V117" s="3"/>
      <c r="W117" s="3">
        <v>0</v>
      </c>
      <c r="X117" s="3"/>
      <c r="Y117" s="3">
        <v>0</v>
      </c>
      <c r="Z117" s="3"/>
      <c r="AA117" s="3">
        <v>0</v>
      </c>
      <c r="AC117" s="9">
        <f t="shared" si="2"/>
        <v>124990</v>
      </c>
    </row>
    <row r="118" spans="1:29" s="9" customFormat="1" ht="12" hidden="1">
      <c r="A118" s="9" t="s">
        <v>189</v>
      </c>
      <c r="C118" s="9" t="s">
        <v>190</v>
      </c>
      <c r="E118" s="3">
        <v>0</v>
      </c>
      <c r="F118" s="3"/>
      <c r="G118" s="3">
        <v>0</v>
      </c>
      <c r="H118" s="3"/>
      <c r="I118" s="3">
        <v>0</v>
      </c>
      <c r="J118" s="3"/>
      <c r="K118" s="3">
        <v>0</v>
      </c>
      <c r="L118" s="3"/>
      <c r="M118" s="3">
        <v>0</v>
      </c>
      <c r="N118" s="3"/>
      <c r="O118" s="3">
        <v>0</v>
      </c>
      <c r="P118" s="3"/>
      <c r="Q118" s="3">
        <v>0</v>
      </c>
      <c r="R118" s="3"/>
      <c r="S118" s="3">
        <v>0</v>
      </c>
      <c r="T118" s="3"/>
      <c r="U118" s="3">
        <v>0</v>
      </c>
      <c r="V118" s="3"/>
      <c r="W118" s="3">
        <v>0</v>
      </c>
      <c r="X118" s="3"/>
      <c r="Y118" s="3">
        <v>0</v>
      </c>
      <c r="Z118" s="3"/>
      <c r="AA118" s="3">
        <v>0</v>
      </c>
      <c r="AC118" s="9">
        <f t="shared" si="2"/>
        <v>0</v>
      </c>
    </row>
    <row r="119" spans="1:29" s="9" customFormat="1" ht="12" hidden="1">
      <c r="A119" s="9" t="s">
        <v>191</v>
      </c>
      <c r="C119" s="9" t="s">
        <v>46</v>
      </c>
      <c r="E119" s="3">
        <v>0</v>
      </c>
      <c r="F119" s="3"/>
      <c r="G119" s="3">
        <v>0</v>
      </c>
      <c r="H119" s="3"/>
      <c r="I119" s="3">
        <v>0</v>
      </c>
      <c r="J119" s="3"/>
      <c r="K119" s="3">
        <v>0</v>
      </c>
      <c r="L119" s="3"/>
      <c r="M119" s="3">
        <v>0</v>
      </c>
      <c r="N119" s="3"/>
      <c r="O119" s="3">
        <v>0</v>
      </c>
      <c r="P119" s="3"/>
      <c r="Q119" s="3">
        <v>0</v>
      </c>
      <c r="R119" s="3"/>
      <c r="S119" s="3">
        <v>0</v>
      </c>
      <c r="T119" s="3"/>
      <c r="U119" s="3">
        <v>0</v>
      </c>
      <c r="V119" s="3"/>
      <c r="W119" s="3">
        <v>0</v>
      </c>
      <c r="X119" s="3"/>
      <c r="Y119" s="3">
        <v>0</v>
      </c>
      <c r="Z119" s="3"/>
      <c r="AA119" s="3">
        <v>0</v>
      </c>
      <c r="AC119" s="9">
        <f t="shared" si="2"/>
        <v>0</v>
      </c>
    </row>
    <row r="120" spans="1:29" s="9" customFormat="1" ht="12" hidden="1">
      <c r="A120" s="9" t="s">
        <v>192</v>
      </c>
      <c r="C120" s="9" t="s">
        <v>59</v>
      </c>
      <c r="E120" s="3">
        <v>0</v>
      </c>
      <c r="F120" s="3"/>
      <c r="G120" s="3">
        <v>0</v>
      </c>
      <c r="H120" s="3"/>
      <c r="I120" s="3">
        <v>0</v>
      </c>
      <c r="J120" s="3"/>
      <c r="K120" s="3">
        <v>0</v>
      </c>
      <c r="L120" s="3"/>
      <c r="M120" s="3">
        <v>0</v>
      </c>
      <c r="N120" s="3"/>
      <c r="O120" s="3">
        <v>0</v>
      </c>
      <c r="P120" s="3"/>
      <c r="Q120" s="3">
        <v>0</v>
      </c>
      <c r="R120" s="3"/>
      <c r="S120" s="3">
        <v>0</v>
      </c>
      <c r="T120" s="3"/>
      <c r="U120" s="3">
        <v>0</v>
      </c>
      <c r="V120" s="3"/>
      <c r="W120" s="3">
        <v>0</v>
      </c>
      <c r="X120" s="3"/>
      <c r="Y120" s="3">
        <v>0</v>
      </c>
      <c r="Z120" s="3"/>
      <c r="AA120" s="3">
        <v>0</v>
      </c>
      <c r="AC120" s="9">
        <f t="shared" si="2"/>
        <v>0</v>
      </c>
    </row>
    <row r="121" spans="1:29" s="9" customFormat="1" ht="12" hidden="1">
      <c r="A121" s="9" t="s">
        <v>193</v>
      </c>
      <c r="C121" s="9" t="s">
        <v>16</v>
      </c>
      <c r="E121" s="3">
        <v>0</v>
      </c>
      <c r="F121" s="3"/>
      <c r="G121" s="3">
        <v>0</v>
      </c>
      <c r="H121" s="3"/>
      <c r="I121" s="3">
        <v>0</v>
      </c>
      <c r="J121" s="3"/>
      <c r="K121" s="3">
        <v>0</v>
      </c>
      <c r="L121" s="3"/>
      <c r="M121" s="3">
        <v>0</v>
      </c>
      <c r="N121" s="3"/>
      <c r="O121" s="3">
        <v>0</v>
      </c>
      <c r="P121" s="3"/>
      <c r="Q121" s="3">
        <v>0</v>
      </c>
      <c r="R121" s="3"/>
      <c r="S121" s="3">
        <v>0</v>
      </c>
      <c r="T121" s="3"/>
      <c r="U121" s="3">
        <v>0</v>
      </c>
      <c r="V121" s="3"/>
      <c r="W121" s="3">
        <v>0</v>
      </c>
      <c r="X121" s="3"/>
      <c r="Y121" s="3">
        <v>0</v>
      </c>
      <c r="Z121" s="3"/>
      <c r="AA121" s="3">
        <v>0</v>
      </c>
      <c r="AC121" s="9">
        <f t="shared" si="2"/>
        <v>0</v>
      </c>
    </row>
    <row r="122" spans="1:62" s="9" customFormat="1" ht="12">
      <c r="A122" s="38" t="s">
        <v>154</v>
      </c>
      <c r="B122" s="38"/>
      <c r="C122" s="38" t="s">
        <v>57</v>
      </c>
      <c r="D122" s="38"/>
      <c r="E122" s="38">
        <v>0</v>
      </c>
      <c r="F122" s="38"/>
      <c r="G122" s="38">
        <v>1325554.09</v>
      </c>
      <c r="H122" s="38"/>
      <c r="I122" s="38">
        <v>0</v>
      </c>
      <c r="J122" s="38"/>
      <c r="K122" s="38">
        <v>57307.71</v>
      </c>
      <c r="L122" s="38"/>
      <c r="M122" s="38">
        <v>0</v>
      </c>
      <c r="N122" s="38"/>
      <c r="O122" s="38">
        <v>8530.59</v>
      </c>
      <c r="P122" s="38"/>
      <c r="Q122" s="38">
        <v>16061.27</v>
      </c>
      <c r="R122" s="38"/>
      <c r="S122" s="38">
        <v>3619.81</v>
      </c>
      <c r="T122" s="38"/>
      <c r="U122" s="38">
        <v>0</v>
      </c>
      <c r="V122" s="38"/>
      <c r="W122" s="38">
        <v>0</v>
      </c>
      <c r="X122" s="38"/>
      <c r="Y122" s="38">
        <v>0</v>
      </c>
      <c r="Z122" s="38"/>
      <c r="AA122" s="38">
        <v>0</v>
      </c>
      <c r="AB122" s="38"/>
      <c r="AC122" s="9">
        <f t="shared" si="2"/>
        <v>1411073.4700000002</v>
      </c>
      <c r="AD122" s="39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</row>
    <row r="123" spans="1:62" s="9" customFormat="1" ht="12">
      <c r="A123" s="38" t="s">
        <v>155</v>
      </c>
      <c r="B123" s="38"/>
      <c r="C123" s="38" t="s">
        <v>55</v>
      </c>
      <c r="D123" s="38"/>
      <c r="E123" s="38">
        <v>0</v>
      </c>
      <c r="F123" s="38"/>
      <c r="G123" s="38">
        <v>639805.99</v>
      </c>
      <c r="H123" s="38"/>
      <c r="I123" s="38">
        <v>0</v>
      </c>
      <c r="J123" s="38"/>
      <c r="K123" s="38">
        <v>19919.22</v>
      </c>
      <c r="L123" s="38"/>
      <c r="M123" s="38">
        <v>55</v>
      </c>
      <c r="N123" s="38"/>
      <c r="O123" s="38">
        <v>9033.43</v>
      </c>
      <c r="P123" s="38"/>
      <c r="Q123" s="38">
        <v>71544.72</v>
      </c>
      <c r="R123" s="38"/>
      <c r="S123" s="38">
        <v>853.45</v>
      </c>
      <c r="T123" s="38"/>
      <c r="U123" s="38">
        <v>1321.65</v>
      </c>
      <c r="V123" s="38"/>
      <c r="W123" s="38">
        <v>0</v>
      </c>
      <c r="X123" s="38"/>
      <c r="Y123" s="38">
        <v>0</v>
      </c>
      <c r="Z123" s="38"/>
      <c r="AA123" s="38">
        <v>0</v>
      </c>
      <c r="AB123" s="38"/>
      <c r="AC123" s="9">
        <f t="shared" si="2"/>
        <v>742533.46</v>
      </c>
      <c r="AD123" s="39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</row>
    <row r="124" spans="1:29" s="9" customFormat="1" ht="12" hidden="1">
      <c r="A124" s="9" t="s">
        <v>194</v>
      </c>
      <c r="C124" s="9" t="s">
        <v>57</v>
      </c>
      <c r="E124" s="3">
        <v>0</v>
      </c>
      <c r="F124" s="3"/>
      <c r="G124" s="3">
        <v>0</v>
      </c>
      <c r="H124" s="3"/>
      <c r="I124" s="3">
        <v>0</v>
      </c>
      <c r="J124" s="3"/>
      <c r="K124" s="3">
        <v>0</v>
      </c>
      <c r="L124" s="3"/>
      <c r="M124" s="3">
        <v>0</v>
      </c>
      <c r="N124" s="3"/>
      <c r="O124" s="3">
        <v>0</v>
      </c>
      <c r="P124" s="3"/>
      <c r="Q124" s="3">
        <v>0</v>
      </c>
      <c r="R124" s="3"/>
      <c r="S124" s="3">
        <v>0</v>
      </c>
      <c r="T124" s="3"/>
      <c r="U124" s="3">
        <v>0</v>
      </c>
      <c r="V124" s="3"/>
      <c r="W124" s="3">
        <v>0</v>
      </c>
      <c r="X124" s="3"/>
      <c r="Y124" s="3">
        <v>0</v>
      </c>
      <c r="Z124" s="3"/>
      <c r="AA124" s="3">
        <v>0</v>
      </c>
      <c r="AC124" s="9">
        <f t="shared" si="2"/>
        <v>0</v>
      </c>
    </row>
    <row r="125" spans="1:29" s="9" customFormat="1" ht="12" hidden="1">
      <c r="A125" s="9" t="s">
        <v>354</v>
      </c>
      <c r="C125" s="9" t="s">
        <v>54</v>
      </c>
      <c r="E125" s="3">
        <v>0</v>
      </c>
      <c r="F125" s="3"/>
      <c r="G125" s="3">
        <v>0</v>
      </c>
      <c r="H125" s="3"/>
      <c r="I125" s="3">
        <v>0</v>
      </c>
      <c r="J125" s="3"/>
      <c r="K125" s="3">
        <v>0</v>
      </c>
      <c r="L125" s="3"/>
      <c r="M125" s="3">
        <v>0</v>
      </c>
      <c r="N125" s="3"/>
      <c r="O125" s="3">
        <v>0</v>
      </c>
      <c r="P125" s="3"/>
      <c r="Q125" s="3">
        <v>0</v>
      </c>
      <c r="R125" s="3"/>
      <c r="S125" s="3">
        <v>0</v>
      </c>
      <c r="T125" s="3"/>
      <c r="U125" s="3">
        <v>0</v>
      </c>
      <c r="V125" s="3"/>
      <c r="W125" s="3">
        <v>0</v>
      </c>
      <c r="X125" s="3"/>
      <c r="Y125" s="3">
        <v>0</v>
      </c>
      <c r="Z125" s="3"/>
      <c r="AA125" s="3">
        <v>0</v>
      </c>
      <c r="AC125" s="9">
        <f t="shared" si="2"/>
        <v>0</v>
      </c>
    </row>
    <row r="126" spans="1:29" s="9" customFormat="1" ht="12" hidden="1">
      <c r="A126" s="9" t="s">
        <v>196</v>
      </c>
      <c r="C126" s="9" t="s">
        <v>54</v>
      </c>
      <c r="E126" s="3">
        <v>0</v>
      </c>
      <c r="F126" s="3"/>
      <c r="G126" s="3">
        <v>0</v>
      </c>
      <c r="H126" s="3"/>
      <c r="I126" s="3">
        <v>0</v>
      </c>
      <c r="J126" s="3"/>
      <c r="K126" s="3">
        <v>0</v>
      </c>
      <c r="L126" s="3"/>
      <c r="M126" s="3">
        <v>0</v>
      </c>
      <c r="N126" s="3"/>
      <c r="O126" s="3">
        <v>0</v>
      </c>
      <c r="P126" s="3"/>
      <c r="Q126" s="3">
        <v>0</v>
      </c>
      <c r="R126" s="3"/>
      <c r="S126" s="3">
        <v>0</v>
      </c>
      <c r="T126" s="3"/>
      <c r="U126" s="3">
        <v>0</v>
      </c>
      <c r="V126" s="3"/>
      <c r="W126" s="3">
        <v>0</v>
      </c>
      <c r="X126" s="3"/>
      <c r="Y126" s="3">
        <v>0</v>
      </c>
      <c r="Z126" s="3"/>
      <c r="AA126" s="3">
        <v>0</v>
      </c>
      <c r="AC126" s="9">
        <f t="shared" si="2"/>
        <v>0</v>
      </c>
    </row>
    <row r="127" spans="1:29" s="9" customFormat="1" ht="12" hidden="1">
      <c r="A127" s="9" t="s">
        <v>197</v>
      </c>
      <c r="C127" s="9" t="s">
        <v>63</v>
      </c>
      <c r="E127" s="3">
        <v>0</v>
      </c>
      <c r="F127" s="3"/>
      <c r="G127" s="3">
        <v>0</v>
      </c>
      <c r="H127" s="3"/>
      <c r="I127" s="3">
        <v>0</v>
      </c>
      <c r="J127" s="3"/>
      <c r="K127" s="3">
        <v>0</v>
      </c>
      <c r="L127" s="3"/>
      <c r="M127" s="3">
        <v>0</v>
      </c>
      <c r="N127" s="3"/>
      <c r="O127" s="3">
        <v>0</v>
      </c>
      <c r="P127" s="3"/>
      <c r="Q127" s="3">
        <v>0</v>
      </c>
      <c r="R127" s="3"/>
      <c r="S127" s="3">
        <v>0</v>
      </c>
      <c r="T127" s="3"/>
      <c r="U127" s="3">
        <v>0</v>
      </c>
      <c r="V127" s="3"/>
      <c r="W127" s="3">
        <v>0</v>
      </c>
      <c r="X127" s="3"/>
      <c r="Y127" s="3">
        <v>0</v>
      </c>
      <c r="Z127" s="3"/>
      <c r="AA127" s="3">
        <v>0</v>
      </c>
      <c r="AC127" s="9">
        <f t="shared" si="2"/>
        <v>0</v>
      </c>
    </row>
    <row r="128" spans="1:29" s="9" customFormat="1" ht="12">
      <c r="A128" s="9" t="s">
        <v>349</v>
      </c>
      <c r="C128" s="9" t="s">
        <v>157</v>
      </c>
      <c r="E128" s="3">
        <v>0</v>
      </c>
      <c r="F128" s="3"/>
      <c r="G128" s="3">
        <v>968644</v>
      </c>
      <c r="H128" s="3"/>
      <c r="I128" s="3">
        <v>0</v>
      </c>
      <c r="J128" s="3"/>
      <c r="K128" s="3">
        <v>32200</v>
      </c>
      <c r="L128" s="3"/>
      <c r="M128" s="3">
        <v>0</v>
      </c>
      <c r="N128" s="3"/>
      <c r="O128" s="3">
        <v>8470</v>
      </c>
      <c r="P128" s="3"/>
      <c r="Q128" s="3">
        <v>25602</v>
      </c>
      <c r="R128" s="3"/>
      <c r="S128" s="3">
        <v>23228</v>
      </c>
      <c r="T128" s="3"/>
      <c r="U128" s="3">
        <v>0</v>
      </c>
      <c r="V128" s="3"/>
      <c r="W128" s="3">
        <v>0</v>
      </c>
      <c r="X128" s="3"/>
      <c r="Y128" s="3">
        <v>0</v>
      </c>
      <c r="Z128" s="3"/>
      <c r="AA128" s="3">
        <v>0</v>
      </c>
      <c r="AC128" s="9">
        <f t="shared" si="2"/>
        <v>1058144</v>
      </c>
    </row>
    <row r="129" spans="1:29" s="9" customFormat="1" ht="12">
      <c r="A129" s="9" t="s">
        <v>158</v>
      </c>
      <c r="C129" s="9" t="s">
        <v>18</v>
      </c>
      <c r="E129" s="3">
        <v>2150038</v>
      </c>
      <c r="F129" s="3"/>
      <c r="G129" s="3">
        <v>0</v>
      </c>
      <c r="H129" s="3"/>
      <c r="I129" s="3">
        <v>3577966</v>
      </c>
      <c r="J129" s="3"/>
      <c r="K129" s="3">
        <v>228069</v>
      </c>
      <c r="L129" s="3"/>
      <c r="M129" s="3">
        <v>0</v>
      </c>
      <c r="N129" s="3"/>
      <c r="O129" s="3">
        <v>25129</v>
      </c>
      <c r="P129" s="3"/>
      <c r="Q129" s="3">
        <v>44103</v>
      </c>
      <c r="R129" s="3"/>
      <c r="S129" s="3">
        <f>15853+18260</f>
        <v>34113</v>
      </c>
      <c r="T129" s="3"/>
      <c r="U129" s="3">
        <v>0</v>
      </c>
      <c r="V129" s="3"/>
      <c r="W129" s="3">
        <v>0</v>
      </c>
      <c r="X129" s="3"/>
      <c r="Y129" s="3">
        <v>0</v>
      </c>
      <c r="Z129" s="3"/>
      <c r="AA129" s="3">
        <v>0</v>
      </c>
      <c r="AC129" s="9">
        <f t="shared" si="2"/>
        <v>6059418</v>
      </c>
    </row>
    <row r="130" spans="1:62" s="9" customFormat="1" ht="12">
      <c r="A130" s="38" t="s">
        <v>159</v>
      </c>
      <c r="B130" s="38"/>
      <c r="C130" s="38" t="s">
        <v>58</v>
      </c>
      <c r="D130" s="38"/>
      <c r="E130" s="38">
        <v>0</v>
      </c>
      <c r="F130" s="38"/>
      <c r="G130" s="38">
        <v>824246.01</v>
      </c>
      <c r="H130" s="38"/>
      <c r="I130" s="38">
        <v>0</v>
      </c>
      <c r="J130" s="38"/>
      <c r="K130" s="38">
        <v>18563.85</v>
      </c>
      <c r="L130" s="38"/>
      <c r="M130" s="38">
        <v>0</v>
      </c>
      <c r="N130" s="38"/>
      <c r="O130" s="38">
        <v>70</v>
      </c>
      <c r="P130" s="38"/>
      <c r="Q130" s="38">
        <v>17956.54</v>
      </c>
      <c r="R130" s="38"/>
      <c r="S130" s="38">
        <v>3299</v>
      </c>
      <c r="T130" s="38"/>
      <c r="U130" s="38">
        <v>0</v>
      </c>
      <c r="V130" s="38"/>
      <c r="W130" s="38">
        <v>0</v>
      </c>
      <c r="X130" s="38"/>
      <c r="Y130" s="38">
        <v>0</v>
      </c>
      <c r="Z130" s="38"/>
      <c r="AA130" s="38">
        <v>0</v>
      </c>
      <c r="AB130" s="38"/>
      <c r="AC130" s="9">
        <f t="shared" si="2"/>
        <v>864135.4</v>
      </c>
      <c r="AD130" s="39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</row>
    <row r="131" spans="1:62" s="9" customFormat="1" ht="12">
      <c r="A131" s="38" t="s">
        <v>523</v>
      </c>
      <c r="B131" s="38"/>
      <c r="C131" s="38" t="s">
        <v>59</v>
      </c>
      <c r="D131" s="38"/>
      <c r="E131" s="38">
        <v>0</v>
      </c>
      <c r="F131" s="38"/>
      <c r="G131" s="38">
        <v>0</v>
      </c>
      <c r="H131" s="38"/>
      <c r="I131" s="38">
        <v>850106.23</v>
      </c>
      <c r="J131" s="38"/>
      <c r="K131" s="38">
        <v>12176.99</v>
      </c>
      <c r="L131" s="38"/>
      <c r="M131" s="38">
        <v>0</v>
      </c>
      <c r="N131" s="38"/>
      <c r="O131" s="38">
        <v>2448.06</v>
      </c>
      <c r="P131" s="38"/>
      <c r="Q131" s="38">
        <v>31810.96</v>
      </c>
      <c r="R131" s="38"/>
      <c r="S131" s="38">
        <v>4280.83</v>
      </c>
      <c r="T131" s="38"/>
      <c r="U131" s="38">
        <v>0</v>
      </c>
      <c r="V131" s="38"/>
      <c r="W131" s="38">
        <v>0</v>
      </c>
      <c r="X131" s="38"/>
      <c r="Y131" s="38">
        <v>0</v>
      </c>
      <c r="Z131" s="38"/>
      <c r="AA131" s="38">
        <v>0</v>
      </c>
      <c r="AB131" s="38"/>
      <c r="AC131" s="9">
        <f t="shared" si="2"/>
        <v>900823.07</v>
      </c>
      <c r="AD131" s="39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</row>
    <row r="132" spans="1:62" s="9" customFormat="1" ht="12">
      <c r="A132" s="38" t="s">
        <v>524</v>
      </c>
      <c r="B132" s="38"/>
      <c r="C132" s="38" t="s">
        <v>27</v>
      </c>
      <c r="D132" s="38"/>
      <c r="E132" s="38">
        <v>0</v>
      </c>
      <c r="F132" s="38"/>
      <c r="G132" s="38">
        <v>130718.3</v>
      </c>
      <c r="H132" s="38"/>
      <c r="I132" s="38">
        <v>0</v>
      </c>
      <c r="J132" s="38"/>
      <c r="K132" s="38">
        <v>10569.42</v>
      </c>
      <c r="L132" s="38"/>
      <c r="M132" s="38">
        <v>0</v>
      </c>
      <c r="N132" s="38"/>
      <c r="O132" s="38">
        <v>13259.82</v>
      </c>
      <c r="P132" s="38"/>
      <c r="Q132" s="38">
        <v>162.85</v>
      </c>
      <c r="R132" s="38"/>
      <c r="S132" s="38">
        <v>215.78</v>
      </c>
      <c r="T132" s="38"/>
      <c r="U132" s="38">
        <v>0</v>
      </c>
      <c r="V132" s="38"/>
      <c r="W132" s="38">
        <v>0</v>
      </c>
      <c r="X132" s="38"/>
      <c r="Y132" s="38">
        <v>0</v>
      </c>
      <c r="Z132" s="38"/>
      <c r="AA132" s="38">
        <v>0</v>
      </c>
      <c r="AB132" s="38"/>
      <c r="AC132" s="9">
        <f t="shared" si="2"/>
        <v>154926.17</v>
      </c>
      <c r="AD132" s="39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</row>
    <row r="133" spans="1:62" s="9" customFormat="1" ht="12">
      <c r="A133" s="38" t="s">
        <v>160</v>
      </c>
      <c r="B133" s="38"/>
      <c r="C133" s="38" t="s">
        <v>60</v>
      </c>
      <c r="D133" s="38"/>
      <c r="E133" s="38">
        <v>0</v>
      </c>
      <c r="F133" s="38"/>
      <c r="G133" s="38">
        <v>585475.56</v>
      </c>
      <c r="H133" s="38"/>
      <c r="I133" s="38">
        <v>0</v>
      </c>
      <c r="J133" s="38"/>
      <c r="K133" s="38">
        <v>22032.71</v>
      </c>
      <c r="L133" s="38"/>
      <c r="M133" s="38">
        <v>0</v>
      </c>
      <c r="N133" s="38"/>
      <c r="O133" s="38">
        <v>3021.11</v>
      </c>
      <c r="P133" s="38"/>
      <c r="Q133" s="38">
        <v>7733.09</v>
      </c>
      <c r="R133" s="38"/>
      <c r="S133" s="38">
        <v>1510.91</v>
      </c>
      <c r="T133" s="38"/>
      <c r="U133" s="38">
        <v>0</v>
      </c>
      <c r="V133" s="38"/>
      <c r="W133" s="38">
        <v>0</v>
      </c>
      <c r="X133" s="38"/>
      <c r="Y133" s="38">
        <v>0</v>
      </c>
      <c r="Z133" s="38"/>
      <c r="AA133" s="38">
        <v>0</v>
      </c>
      <c r="AB133" s="38"/>
      <c r="AC133" s="9">
        <f t="shared" si="2"/>
        <v>619773.38</v>
      </c>
      <c r="AD133" s="39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</row>
    <row r="134" spans="1:29" s="9" customFormat="1" ht="12" hidden="1">
      <c r="A134" s="9" t="s">
        <v>355</v>
      </c>
      <c r="C134" s="9" t="s">
        <v>26</v>
      </c>
      <c r="E134" s="3">
        <v>0</v>
      </c>
      <c r="F134" s="3"/>
      <c r="G134" s="3">
        <v>0</v>
      </c>
      <c r="H134" s="3"/>
      <c r="I134" s="3">
        <v>0</v>
      </c>
      <c r="J134" s="3"/>
      <c r="K134" s="3">
        <v>0</v>
      </c>
      <c r="L134" s="3"/>
      <c r="M134" s="3">
        <v>0</v>
      </c>
      <c r="N134" s="3"/>
      <c r="O134" s="3">
        <v>0</v>
      </c>
      <c r="P134" s="3"/>
      <c r="Q134" s="3">
        <v>0</v>
      </c>
      <c r="R134" s="3"/>
      <c r="S134" s="3">
        <v>0</v>
      </c>
      <c r="T134" s="3"/>
      <c r="U134" s="3">
        <v>0</v>
      </c>
      <c r="V134" s="3"/>
      <c r="W134" s="3">
        <v>0</v>
      </c>
      <c r="X134" s="3"/>
      <c r="Y134" s="3">
        <v>0</v>
      </c>
      <c r="Z134" s="3"/>
      <c r="AA134" s="3">
        <v>0</v>
      </c>
      <c r="AC134" s="9">
        <f t="shared" si="2"/>
        <v>0</v>
      </c>
    </row>
    <row r="135" spans="1:62" s="9" customFormat="1" ht="12">
      <c r="A135" s="38" t="s">
        <v>350</v>
      </c>
      <c r="B135" s="38"/>
      <c r="C135" s="38" t="s">
        <v>46</v>
      </c>
      <c r="D135" s="38"/>
      <c r="E135" s="38">
        <v>0</v>
      </c>
      <c r="F135" s="38"/>
      <c r="G135" s="38">
        <v>185497.03</v>
      </c>
      <c r="H135" s="38"/>
      <c r="I135" s="38">
        <v>0</v>
      </c>
      <c r="J135" s="38"/>
      <c r="K135" s="38">
        <v>5057.05</v>
      </c>
      <c r="L135" s="38"/>
      <c r="M135" s="38">
        <v>0</v>
      </c>
      <c r="N135" s="38"/>
      <c r="O135" s="38">
        <v>222.25</v>
      </c>
      <c r="P135" s="38"/>
      <c r="Q135" s="38">
        <v>19881.4</v>
      </c>
      <c r="R135" s="38"/>
      <c r="S135" s="38">
        <v>2464.94</v>
      </c>
      <c r="T135" s="38"/>
      <c r="U135" s="38">
        <v>0</v>
      </c>
      <c r="V135" s="38"/>
      <c r="W135" s="38">
        <v>0</v>
      </c>
      <c r="X135" s="38"/>
      <c r="Y135" s="38">
        <v>0</v>
      </c>
      <c r="Z135" s="38"/>
      <c r="AA135" s="38">
        <v>0</v>
      </c>
      <c r="AB135" s="38"/>
      <c r="AC135" s="9">
        <f t="shared" si="2"/>
        <v>213122.66999999998</v>
      </c>
      <c r="AD135" s="39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</row>
    <row r="136" spans="1:29" s="9" customFormat="1" ht="12">
      <c r="A136" s="9" t="s">
        <v>162</v>
      </c>
      <c r="C136" s="9" t="s">
        <v>98</v>
      </c>
      <c r="E136" s="3">
        <v>761423</v>
      </c>
      <c r="F136" s="3"/>
      <c r="G136" s="3">
        <v>1738584</v>
      </c>
      <c r="H136" s="3"/>
      <c r="I136" s="3">
        <v>0</v>
      </c>
      <c r="J136" s="3"/>
      <c r="K136" s="3">
        <v>76958</v>
      </c>
      <c r="L136" s="3"/>
      <c r="M136" s="3">
        <v>1923</v>
      </c>
      <c r="N136" s="3"/>
      <c r="O136" s="3">
        <v>21528</v>
      </c>
      <c r="P136" s="3"/>
      <c r="Q136" s="3">
        <v>45178</v>
      </c>
      <c r="R136" s="3"/>
      <c r="S136" s="3">
        <v>21450</v>
      </c>
      <c r="T136" s="3"/>
      <c r="U136" s="3">
        <v>0</v>
      </c>
      <c r="V136" s="3"/>
      <c r="W136" s="3">
        <v>0</v>
      </c>
      <c r="X136" s="3"/>
      <c r="Y136" s="3">
        <v>0</v>
      </c>
      <c r="Z136" s="3"/>
      <c r="AA136" s="3">
        <v>0</v>
      </c>
      <c r="AC136" s="9">
        <f t="shared" si="2"/>
        <v>2667044</v>
      </c>
    </row>
    <row r="137" spans="1:29" s="9" customFormat="1" ht="12" hidden="1">
      <c r="A137" s="9" t="s">
        <v>208</v>
      </c>
      <c r="C137" s="9" t="s">
        <v>109</v>
      </c>
      <c r="E137" s="3">
        <v>0</v>
      </c>
      <c r="F137" s="3"/>
      <c r="G137" s="3">
        <v>0</v>
      </c>
      <c r="H137" s="3"/>
      <c r="I137" s="3">
        <v>0</v>
      </c>
      <c r="J137" s="3"/>
      <c r="K137" s="3">
        <v>0</v>
      </c>
      <c r="L137" s="3"/>
      <c r="M137" s="3">
        <v>0</v>
      </c>
      <c r="N137" s="3"/>
      <c r="O137" s="3">
        <v>0</v>
      </c>
      <c r="P137" s="3"/>
      <c r="Q137" s="3">
        <v>0</v>
      </c>
      <c r="R137" s="3"/>
      <c r="S137" s="3">
        <v>0</v>
      </c>
      <c r="T137" s="3"/>
      <c r="U137" s="3">
        <v>0</v>
      </c>
      <c r="V137" s="3"/>
      <c r="W137" s="3">
        <v>0</v>
      </c>
      <c r="X137" s="3"/>
      <c r="Y137" s="3">
        <v>0</v>
      </c>
      <c r="Z137" s="3"/>
      <c r="AA137" s="3">
        <v>0</v>
      </c>
      <c r="AC137" s="9">
        <f t="shared" si="2"/>
        <v>0</v>
      </c>
    </row>
    <row r="138" spans="1:29" s="9" customFormat="1" ht="12">
      <c r="A138" s="9" t="s">
        <v>163</v>
      </c>
      <c r="C138" s="9" t="s">
        <v>44</v>
      </c>
      <c r="E138" s="3">
        <v>0</v>
      </c>
      <c r="F138" s="3"/>
      <c r="G138" s="3">
        <v>753135</v>
      </c>
      <c r="H138" s="3"/>
      <c r="I138" s="3">
        <v>0</v>
      </c>
      <c r="J138" s="3"/>
      <c r="K138" s="3">
        <v>30641</v>
      </c>
      <c r="L138" s="3"/>
      <c r="M138" s="3">
        <v>0</v>
      </c>
      <c r="N138" s="3"/>
      <c r="O138" s="3">
        <v>8672</v>
      </c>
      <c r="P138" s="3"/>
      <c r="Q138" s="3">
        <v>75966</v>
      </c>
      <c r="R138" s="3"/>
      <c r="S138" s="3">
        <v>0</v>
      </c>
      <c r="T138" s="3"/>
      <c r="U138" s="3">
        <v>0</v>
      </c>
      <c r="V138" s="3"/>
      <c r="W138" s="3">
        <v>0</v>
      </c>
      <c r="X138" s="3"/>
      <c r="Y138" s="3">
        <v>0</v>
      </c>
      <c r="Z138" s="3"/>
      <c r="AA138" s="3">
        <v>0</v>
      </c>
      <c r="AC138" s="9">
        <f t="shared" si="2"/>
        <v>868414</v>
      </c>
    </row>
    <row r="139" spans="1:29" s="9" customFormat="1" ht="12">
      <c r="A139" s="9" t="s">
        <v>164</v>
      </c>
      <c r="C139" s="9" t="s">
        <v>165</v>
      </c>
      <c r="E139" s="3">
        <v>3311123</v>
      </c>
      <c r="F139" s="3"/>
      <c r="G139" s="3">
        <v>5374459</v>
      </c>
      <c r="H139" s="3"/>
      <c r="I139" s="3">
        <v>0</v>
      </c>
      <c r="J139" s="3"/>
      <c r="K139" s="3">
        <v>202057</v>
      </c>
      <c r="L139" s="3"/>
      <c r="M139" s="3">
        <v>0</v>
      </c>
      <c r="N139" s="3"/>
      <c r="O139" s="3">
        <v>425</v>
      </c>
      <c r="P139" s="3"/>
      <c r="Q139" s="3">
        <v>474980</v>
      </c>
      <c r="R139" s="3"/>
      <c r="S139" s="3">
        <v>40033</v>
      </c>
      <c r="T139" s="3"/>
      <c r="U139" s="3">
        <v>0</v>
      </c>
      <c r="V139" s="3"/>
      <c r="W139" s="3">
        <v>34000</v>
      </c>
      <c r="X139" s="3"/>
      <c r="Y139" s="3">
        <v>0</v>
      </c>
      <c r="Z139" s="3"/>
      <c r="AA139" s="3">
        <v>0</v>
      </c>
      <c r="AC139" s="9">
        <f t="shared" si="2"/>
        <v>9437077</v>
      </c>
    </row>
    <row r="140" spans="1:29" s="9" customFormat="1" ht="12" hidden="1">
      <c r="A140" s="9" t="s">
        <v>211</v>
      </c>
      <c r="C140" s="9" t="s">
        <v>207</v>
      </c>
      <c r="E140" s="3">
        <v>0</v>
      </c>
      <c r="F140" s="3"/>
      <c r="G140" s="3">
        <v>0</v>
      </c>
      <c r="H140" s="3"/>
      <c r="I140" s="3">
        <v>0</v>
      </c>
      <c r="J140" s="3"/>
      <c r="K140" s="3">
        <v>0</v>
      </c>
      <c r="L140" s="3"/>
      <c r="M140" s="3">
        <v>0</v>
      </c>
      <c r="N140" s="3"/>
      <c r="O140" s="3">
        <v>0</v>
      </c>
      <c r="P140" s="3"/>
      <c r="Q140" s="3">
        <v>0</v>
      </c>
      <c r="R140" s="3"/>
      <c r="S140" s="3">
        <v>0</v>
      </c>
      <c r="T140" s="3"/>
      <c r="U140" s="3">
        <v>0</v>
      </c>
      <c r="V140" s="3"/>
      <c r="W140" s="3">
        <v>0</v>
      </c>
      <c r="X140" s="3"/>
      <c r="Y140" s="3">
        <v>0</v>
      </c>
      <c r="Z140" s="3"/>
      <c r="AA140" s="3">
        <v>0</v>
      </c>
      <c r="AC140" s="9">
        <f t="shared" si="2"/>
        <v>0</v>
      </c>
    </row>
    <row r="141" spans="1:29" s="9" customFormat="1" ht="12" hidden="1">
      <c r="A141" s="9" t="s">
        <v>212</v>
      </c>
      <c r="C141" s="9" t="s">
        <v>57</v>
      </c>
      <c r="E141" s="3">
        <v>0</v>
      </c>
      <c r="F141" s="3"/>
      <c r="G141" s="3">
        <v>0</v>
      </c>
      <c r="H141" s="3"/>
      <c r="I141" s="3">
        <v>0</v>
      </c>
      <c r="J141" s="3"/>
      <c r="K141" s="3">
        <v>0</v>
      </c>
      <c r="L141" s="3"/>
      <c r="M141" s="3">
        <v>0</v>
      </c>
      <c r="N141" s="3"/>
      <c r="O141" s="3">
        <v>0</v>
      </c>
      <c r="P141" s="3"/>
      <c r="Q141" s="3">
        <v>0</v>
      </c>
      <c r="R141" s="3"/>
      <c r="S141" s="3">
        <v>0</v>
      </c>
      <c r="T141" s="3"/>
      <c r="U141" s="3">
        <v>0</v>
      </c>
      <c r="V141" s="3"/>
      <c r="W141" s="3">
        <v>0</v>
      </c>
      <c r="X141" s="3"/>
      <c r="Y141" s="3">
        <v>0</v>
      </c>
      <c r="Z141" s="3"/>
      <c r="AA141" s="3">
        <v>0</v>
      </c>
      <c r="AC141" s="9">
        <f t="shared" si="2"/>
        <v>0</v>
      </c>
    </row>
    <row r="142" spans="1:29" s="9" customFormat="1" ht="12" hidden="1">
      <c r="A142" s="9" t="s">
        <v>213</v>
      </c>
      <c r="C142" s="9" t="s">
        <v>64</v>
      </c>
      <c r="E142" s="3">
        <v>0</v>
      </c>
      <c r="F142" s="3"/>
      <c r="G142" s="3">
        <v>0</v>
      </c>
      <c r="H142" s="3"/>
      <c r="I142" s="3">
        <v>0</v>
      </c>
      <c r="J142" s="3"/>
      <c r="K142" s="3">
        <v>0</v>
      </c>
      <c r="L142" s="3"/>
      <c r="M142" s="3">
        <v>0</v>
      </c>
      <c r="N142" s="3"/>
      <c r="O142" s="3">
        <v>0</v>
      </c>
      <c r="P142" s="3"/>
      <c r="Q142" s="3">
        <v>0</v>
      </c>
      <c r="R142" s="3"/>
      <c r="S142" s="3">
        <v>0</v>
      </c>
      <c r="T142" s="3"/>
      <c r="U142" s="3">
        <v>0</v>
      </c>
      <c r="V142" s="3"/>
      <c r="W142" s="3">
        <v>0</v>
      </c>
      <c r="X142" s="3"/>
      <c r="Y142" s="3">
        <v>0</v>
      </c>
      <c r="Z142" s="3"/>
      <c r="AA142" s="3">
        <v>0</v>
      </c>
      <c r="AC142" s="9">
        <f t="shared" si="2"/>
        <v>0</v>
      </c>
    </row>
    <row r="143" spans="1:29" s="9" customFormat="1" ht="12" hidden="1">
      <c r="A143" s="9" t="s">
        <v>216</v>
      </c>
      <c r="C143" s="9" t="s">
        <v>57</v>
      </c>
      <c r="E143" s="3">
        <v>0</v>
      </c>
      <c r="F143" s="3"/>
      <c r="G143" s="3">
        <v>0</v>
      </c>
      <c r="H143" s="3"/>
      <c r="I143" s="3">
        <v>0</v>
      </c>
      <c r="J143" s="3"/>
      <c r="K143" s="3">
        <v>0</v>
      </c>
      <c r="L143" s="3"/>
      <c r="M143" s="3">
        <v>0</v>
      </c>
      <c r="N143" s="3"/>
      <c r="O143" s="3">
        <v>0</v>
      </c>
      <c r="P143" s="3"/>
      <c r="Q143" s="3">
        <v>0</v>
      </c>
      <c r="R143" s="3"/>
      <c r="S143" s="3">
        <v>0</v>
      </c>
      <c r="T143" s="3"/>
      <c r="U143" s="3">
        <v>0</v>
      </c>
      <c r="V143" s="3"/>
      <c r="W143" s="3">
        <v>0</v>
      </c>
      <c r="X143" s="3"/>
      <c r="Y143" s="3">
        <v>0</v>
      </c>
      <c r="Z143" s="3"/>
      <c r="AA143" s="3">
        <v>0</v>
      </c>
      <c r="AC143" s="9">
        <f t="shared" si="2"/>
        <v>0</v>
      </c>
    </row>
    <row r="144" spans="1:29" s="9" customFormat="1" ht="12" hidden="1">
      <c r="A144" s="9" t="s">
        <v>217</v>
      </c>
      <c r="C144" s="9" t="s">
        <v>26</v>
      </c>
      <c r="E144" s="3">
        <v>0</v>
      </c>
      <c r="F144" s="3"/>
      <c r="G144" s="3">
        <v>0</v>
      </c>
      <c r="H144" s="3"/>
      <c r="I144" s="3">
        <v>0</v>
      </c>
      <c r="J144" s="3"/>
      <c r="K144" s="3">
        <v>0</v>
      </c>
      <c r="L144" s="3"/>
      <c r="M144" s="3">
        <v>0</v>
      </c>
      <c r="N144" s="3"/>
      <c r="O144" s="3">
        <v>0</v>
      </c>
      <c r="P144" s="3"/>
      <c r="Q144" s="3">
        <v>0</v>
      </c>
      <c r="R144" s="3"/>
      <c r="S144" s="3">
        <v>0</v>
      </c>
      <c r="T144" s="3"/>
      <c r="U144" s="3">
        <v>0</v>
      </c>
      <c r="V144" s="3"/>
      <c r="W144" s="3">
        <v>0</v>
      </c>
      <c r="X144" s="3"/>
      <c r="Y144" s="3">
        <v>0</v>
      </c>
      <c r="Z144" s="3"/>
      <c r="AA144" s="3">
        <v>0</v>
      </c>
      <c r="AC144" s="9">
        <f t="shared" si="2"/>
        <v>0</v>
      </c>
    </row>
    <row r="145" spans="1:29" s="9" customFormat="1" ht="12" hidden="1">
      <c r="A145" s="9" t="s">
        <v>356</v>
      </c>
      <c r="C145" s="9" t="s">
        <v>150</v>
      </c>
      <c r="E145" s="3">
        <v>0</v>
      </c>
      <c r="F145" s="3"/>
      <c r="G145" s="3">
        <v>0</v>
      </c>
      <c r="H145" s="3"/>
      <c r="I145" s="3">
        <v>0</v>
      </c>
      <c r="J145" s="3"/>
      <c r="K145" s="3">
        <v>0</v>
      </c>
      <c r="L145" s="3"/>
      <c r="M145" s="3">
        <v>0</v>
      </c>
      <c r="N145" s="3"/>
      <c r="O145" s="3">
        <v>0</v>
      </c>
      <c r="P145" s="3"/>
      <c r="Q145" s="3">
        <v>0</v>
      </c>
      <c r="R145" s="3"/>
      <c r="S145" s="3">
        <v>0</v>
      </c>
      <c r="T145" s="3"/>
      <c r="U145" s="3">
        <v>0</v>
      </c>
      <c r="V145" s="3"/>
      <c r="W145" s="3">
        <v>0</v>
      </c>
      <c r="X145" s="3"/>
      <c r="Y145" s="3">
        <v>0</v>
      </c>
      <c r="Z145" s="3"/>
      <c r="AA145" s="3">
        <v>0</v>
      </c>
      <c r="AC145" s="9">
        <f t="shared" si="2"/>
        <v>0</v>
      </c>
    </row>
    <row r="146" spans="1:62" s="9" customFormat="1" ht="12">
      <c r="A146" s="38" t="s">
        <v>166</v>
      </c>
      <c r="B146" s="38"/>
      <c r="C146" s="38" t="s">
        <v>84</v>
      </c>
      <c r="D146" s="38"/>
      <c r="E146" s="38">
        <v>0</v>
      </c>
      <c r="F146" s="38"/>
      <c r="G146" s="38">
        <v>944310.19</v>
      </c>
      <c r="H146" s="38"/>
      <c r="I146" s="38">
        <v>0</v>
      </c>
      <c r="J146" s="38"/>
      <c r="K146" s="38">
        <v>14698.92</v>
      </c>
      <c r="L146" s="38"/>
      <c r="M146" s="38">
        <v>0</v>
      </c>
      <c r="N146" s="38"/>
      <c r="O146" s="38">
        <v>373916.66</v>
      </c>
      <c r="P146" s="38"/>
      <c r="Q146" s="38">
        <v>61007.62</v>
      </c>
      <c r="R146" s="38"/>
      <c r="S146" s="38">
        <v>10728.28</v>
      </c>
      <c r="T146" s="38"/>
      <c r="U146" s="38">
        <v>0</v>
      </c>
      <c r="V146" s="38"/>
      <c r="W146" s="38">
        <v>0</v>
      </c>
      <c r="X146" s="38"/>
      <c r="Y146" s="38">
        <v>0</v>
      </c>
      <c r="Z146" s="38"/>
      <c r="AA146" s="38">
        <v>0</v>
      </c>
      <c r="AB146" s="38"/>
      <c r="AC146" s="9">
        <f t="shared" si="2"/>
        <v>1404661.6700000002</v>
      </c>
      <c r="AD146" s="39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</row>
    <row r="147" spans="1:29" s="9" customFormat="1" ht="12">
      <c r="A147" s="9" t="s">
        <v>167</v>
      </c>
      <c r="C147" s="9" t="s">
        <v>168</v>
      </c>
      <c r="E147" s="3">
        <v>0</v>
      </c>
      <c r="F147" s="3"/>
      <c r="G147" s="3">
        <v>1485654</v>
      </c>
      <c r="H147" s="3"/>
      <c r="I147" s="3">
        <v>29743</v>
      </c>
      <c r="J147" s="3"/>
      <c r="K147" s="3">
        <v>1341</v>
      </c>
      <c r="L147" s="3"/>
      <c r="M147" s="3">
        <v>102650</v>
      </c>
      <c r="N147" s="3"/>
      <c r="O147" s="3">
        <v>2490</v>
      </c>
      <c r="P147" s="3"/>
      <c r="Q147" s="3">
        <v>0</v>
      </c>
      <c r="R147" s="3"/>
      <c r="S147" s="3">
        <v>0</v>
      </c>
      <c r="T147" s="3"/>
      <c r="U147" s="3">
        <v>2399</v>
      </c>
      <c r="V147" s="3"/>
      <c r="W147" s="3">
        <v>0</v>
      </c>
      <c r="X147" s="3"/>
      <c r="Y147" s="3">
        <v>0</v>
      </c>
      <c r="Z147" s="3"/>
      <c r="AA147" s="3">
        <v>0</v>
      </c>
      <c r="AC147" s="9">
        <f t="shared" si="2"/>
        <v>1624277</v>
      </c>
    </row>
    <row r="148" spans="1:29" s="9" customFormat="1" ht="12" hidden="1">
      <c r="A148" s="9" t="s">
        <v>219</v>
      </c>
      <c r="C148" s="9" t="s">
        <v>65</v>
      </c>
      <c r="E148" s="3">
        <v>0</v>
      </c>
      <c r="F148" s="3"/>
      <c r="G148" s="3">
        <v>0</v>
      </c>
      <c r="H148" s="3"/>
      <c r="I148" s="3">
        <v>0</v>
      </c>
      <c r="J148" s="3"/>
      <c r="K148" s="3">
        <v>0</v>
      </c>
      <c r="L148" s="3"/>
      <c r="M148" s="3">
        <v>0</v>
      </c>
      <c r="N148" s="3"/>
      <c r="O148" s="3">
        <v>0</v>
      </c>
      <c r="P148" s="3"/>
      <c r="Q148" s="3">
        <v>0</v>
      </c>
      <c r="R148" s="3"/>
      <c r="S148" s="3">
        <v>0</v>
      </c>
      <c r="T148" s="3"/>
      <c r="U148" s="3">
        <v>0</v>
      </c>
      <c r="V148" s="3"/>
      <c r="W148" s="3">
        <v>0</v>
      </c>
      <c r="X148" s="3"/>
      <c r="Y148" s="3">
        <v>0</v>
      </c>
      <c r="Z148" s="3"/>
      <c r="AA148" s="3">
        <v>0</v>
      </c>
      <c r="AC148" s="9">
        <f t="shared" si="2"/>
        <v>0</v>
      </c>
    </row>
    <row r="149" spans="1:62" s="9" customFormat="1" ht="12">
      <c r="A149" s="38" t="s">
        <v>169</v>
      </c>
      <c r="B149" s="38"/>
      <c r="C149" s="38" t="s">
        <v>46</v>
      </c>
      <c r="D149" s="38"/>
      <c r="E149" s="38">
        <v>104878.06</v>
      </c>
      <c r="F149" s="38"/>
      <c r="G149" s="38">
        <v>413646.71</v>
      </c>
      <c r="H149" s="38"/>
      <c r="I149" s="38">
        <v>13923.25</v>
      </c>
      <c r="J149" s="38"/>
      <c r="K149" s="38">
        <v>12986.89</v>
      </c>
      <c r="L149" s="38"/>
      <c r="M149" s="38">
        <v>0</v>
      </c>
      <c r="N149" s="38"/>
      <c r="O149" s="38">
        <v>570</v>
      </c>
      <c r="P149" s="38"/>
      <c r="Q149" s="38">
        <v>2194.12</v>
      </c>
      <c r="R149" s="38"/>
      <c r="S149" s="38">
        <v>0</v>
      </c>
      <c r="T149" s="38"/>
      <c r="U149" s="38">
        <v>0</v>
      </c>
      <c r="V149" s="38"/>
      <c r="W149" s="38">
        <v>0</v>
      </c>
      <c r="X149" s="38"/>
      <c r="Y149" s="38">
        <v>0</v>
      </c>
      <c r="Z149" s="38"/>
      <c r="AA149" s="38">
        <v>0</v>
      </c>
      <c r="AB149" s="38"/>
      <c r="AC149" s="9">
        <f t="shared" si="2"/>
        <v>548199.03</v>
      </c>
      <c r="AD149" s="39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</row>
    <row r="150" spans="1:29" s="9" customFormat="1" ht="12" hidden="1">
      <c r="A150" s="9" t="s">
        <v>15</v>
      </c>
      <c r="C150" s="9" t="s">
        <v>16</v>
      </c>
      <c r="E150" s="3">
        <v>0</v>
      </c>
      <c r="F150" s="3"/>
      <c r="G150" s="3">
        <v>0</v>
      </c>
      <c r="H150" s="3"/>
      <c r="I150" s="3">
        <v>0</v>
      </c>
      <c r="J150" s="3"/>
      <c r="K150" s="3">
        <v>0</v>
      </c>
      <c r="L150" s="3"/>
      <c r="M150" s="3">
        <v>0</v>
      </c>
      <c r="N150" s="3"/>
      <c r="O150" s="3">
        <v>0</v>
      </c>
      <c r="P150" s="3"/>
      <c r="Q150" s="3">
        <v>0</v>
      </c>
      <c r="R150" s="3"/>
      <c r="S150" s="3">
        <v>0</v>
      </c>
      <c r="T150" s="3"/>
      <c r="U150" s="3">
        <v>0</v>
      </c>
      <c r="V150" s="3"/>
      <c r="W150" s="3">
        <v>0</v>
      </c>
      <c r="X150" s="3"/>
      <c r="Y150" s="3">
        <v>0</v>
      </c>
      <c r="Z150" s="3"/>
      <c r="AA150" s="3">
        <v>0</v>
      </c>
      <c r="AC150" s="9">
        <f t="shared" si="2"/>
        <v>0</v>
      </c>
    </row>
    <row r="151" spans="1:29" s="9" customFormat="1" ht="12" hidden="1">
      <c r="A151" s="9" t="s">
        <v>221</v>
      </c>
      <c r="C151" s="9" t="s">
        <v>53</v>
      </c>
      <c r="E151" s="3">
        <v>0</v>
      </c>
      <c r="F151" s="3"/>
      <c r="G151" s="3">
        <v>0</v>
      </c>
      <c r="H151" s="3"/>
      <c r="I151" s="3">
        <v>0</v>
      </c>
      <c r="J151" s="3"/>
      <c r="K151" s="3">
        <v>0</v>
      </c>
      <c r="L151" s="3"/>
      <c r="M151" s="3">
        <v>0</v>
      </c>
      <c r="N151" s="3"/>
      <c r="O151" s="3">
        <v>0</v>
      </c>
      <c r="P151" s="3"/>
      <c r="Q151" s="3">
        <v>0</v>
      </c>
      <c r="R151" s="3"/>
      <c r="S151" s="3">
        <v>0</v>
      </c>
      <c r="T151" s="3"/>
      <c r="U151" s="3">
        <v>0</v>
      </c>
      <c r="V151" s="3"/>
      <c r="W151" s="3">
        <v>0</v>
      </c>
      <c r="X151" s="3"/>
      <c r="Y151" s="3">
        <v>0</v>
      </c>
      <c r="Z151" s="3"/>
      <c r="AA151" s="3">
        <v>0</v>
      </c>
      <c r="AC151" s="9">
        <f t="shared" si="2"/>
        <v>0</v>
      </c>
    </row>
    <row r="152" spans="1:29" s="9" customFormat="1" ht="12">
      <c r="A152" s="9" t="s">
        <v>170</v>
      </c>
      <c r="C152" s="9" t="s">
        <v>64</v>
      </c>
      <c r="E152" s="3">
        <v>80461</v>
      </c>
      <c r="F152" s="3"/>
      <c r="G152" s="3">
        <v>0</v>
      </c>
      <c r="H152" s="3"/>
      <c r="I152" s="3">
        <v>0</v>
      </c>
      <c r="J152" s="3"/>
      <c r="K152" s="3">
        <v>1841</v>
      </c>
      <c r="L152" s="3"/>
      <c r="M152" s="3">
        <v>0</v>
      </c>
      <c r="N152" s="3"/>
      <c r="O152" s="3">
        <v>625</v>
      </c>
      <c r="P152" s="3"/>
      <c r="Q152" s="3">
        <v>2232</v>
      </c>
      <c r="R152" s="3"/>
      <c r="S152" s="3">
        <v>3079</v>
      </c>
      <c r="T152" s="3"/>
      <c r="U152" s="3">
        <v>0</v>
      </c>
      <c r="V152" s="3"/>
      <c r="W152" s="3">
        <v>0</v>
      </c>
      <c r="X152" s="3"/>
      <c r="Y152" s="3">
        <v>0</v>
      </c>
      <c r="Z152" s="3"/>
      <c r="AA152" s="3">
        <v>0</v>
      </c>
      <c r="AC152" s="9">
        <f t="shared" si="2"/>
        <v>88238</v>
      </c>
    </row>
    <row r="153" spans="1:29" s="9" customFormat="1" ht="12" hidden="1">
      <c r="A153" s="9" t="s">
        <v>223</v>
      </c>
      <c r="C153" s="9" t="s">
        <v>182</v>
      </c>
      <c r="E153" s="3">
        <v>0</v>
      </c>
      <c r="F153" s="3"/>
      <c r="G153" s="3">
        <v>0</v>
      </c>
      <c r="H153" s="3"/>
      <c r="I153" s="3">
        <v>0</v>
      </c>
      <c r="J153" s="3"/>
      <c r="K153" s="3">
        <v>0</v>
      </c>
      <c r="L153" s="3"/>
      <c r="M153" s="3">
        <v>0</v>
      </c>
      <c r="N153" s="3"/>
      <c r="O153" s="3">
        <v>0</v>
      </c>
      <c r="P153" s="3"/>
      <c r="Q153" s="3">
        <v>0</v>
      </c>
      <c r="R153" s="3"/>
      <c r="S153" s="3">
        <v>0</v>
      </c>
      <c r="T153" s="3"/>
      <c r="U153" s="3">
        <v>0</v>
      </c>
      <c r="V153" s="3"/>
      <c r="W153" s="3">
        <v>0</v>
      </c>
      <c r="X153" s="3"/>
      <c r="Y153" s="3">
        <v>0</v>
      </c>
      <c r="Z153" s="3"/>
      <c r="AA153" s="3">
        <v>0</v>
      </c>
      <c r="AC153" s="9">
        <f t="shared" si="2"/>
        <v>0</v>
      </c>
    </row>
    <row r="154" spans="1:29" s="9" customFormat="1" ht="12" hidden="1">
      <c r="A154" s="9" t="s">
        <v>224</v>
      </c>
      <c r="C154" s="9" t="s">
        <v>56</v>
      </c>
      <c r="E154" s="3">
        <v>0</v>
      </c>
      <c r="F154" s="3"/>
      <c r="G154" s="3">
        <v>0</v>
      </c>
      <c r="H154" s="3"/>
      <c r="I154" s="3">
        <v>0</v>
      </c>
      <c r="J154" s="3"/>
      <c r="K154" s="3">
        <v>0</v>
      </c>
      <c r="L154" s="3"/>
      <c r="M154" s="3">
        <v>0</v>
      </c>
      <c r="N154" s="3"/>
      <c r="O154" s="3">
        <v>0</v>
      </c>
      <c r="P154" s="3"/>
      <c r="Q154" s="3">
        <v>0</v>
      </c>
      <c r="R154" s="3"/>
      <c r="S154" s="3">
        <v>0</v>
      </c>
      <c r="T154" s="3"/>
      <c r="U154" s="3">
        <v>0</v>
      </c>
      <c r="V154" s="3"/>
      <c r="W154" s="3">
        <v>0</v>
      </c>
      <c r="X154" s="3"/>
      <c r="Y154" s="3">
        <v>0</v>
      </c>
      <c r="Z154" s="3"/>
      <c r="AA154" s="3">
        <v>0</v>
      </c>
      <c r="AC154" s="9">
        <f t="shared" si="2"/>
        <v>0</v>
      </c>
    </row>
    <row r="155" spans="1:29" s="9" customFormat="1" ht="12" hidden="1">
      <c r="A155" s="9" t="s">
        <v>225</v>
      </c>
      <c r="C155" s="9" t="s">
        <v>26</v>
      </c>
      <c r="E155" s="3">
        <v>0</v>
      </c>
      <c r="F155" s="3"/>
      <c r="G155" s="3">
        <v>0</v>
      </c>
      <c r="H155" s="3"/>
      <c r="I155" s="3">
        <v>0</v>
      </c>
      <c r="J155" s="3"/>
      <c r="K155" s="3">
        <v>0</v>
      </c>
      <c r="L155" s="3"/>
      <c r="M155" s="3">
        <v>0</v>
      </c>
      <c r="N155" s="3"/>
      <c r="O155" s="3">
        <v>0</v>
      </c>
      <c r="P155" s="3"/>
      <c r="Q155" s="3">
        <v>0</v>
      </c>
      <c r="R155" s="3"/>
      <c r="S155" s="3">
        <v>0</v>
      </c>
      <c r="T155" s="3"/>
      <c r="U155" s="3">
        <v>0</v>
      </c>
      <c r="V155" s="3"/>
      <c r="W155" s="3">
        <v>0</v>
      </c>
      <c r="X155" s="3"/>
      <c r="Y155" s="3">
        <v>0</v>
      </c>
      <c r="Z155" s="3"/>
      <c r="AA155" s="3">
        <v>0</v>
      </c>
      <c r="AC155" s="9">
        <f t="shared" si="2"/>
        <v>0</v>
      </c>
    </row>
    <row r="156" spans="1:29" s="9" customFormat="1" ht="12" hidden="1">
      <c r="A156" s="9" t="s">
        <v>357</v>
      </c>
      <c r="C156" s="9" t="s">
        <v>66</v>
      </c>
      <c r="E156" s="3">
        <v>0</v>
      </c>
      <c r="F156" s="3"/>
      <c r="G156" s="3">
        <v>0</v>
      </c>
      <c r="H156" s="3"/>
      <c r="I156" s="3">
        <v>0</v>
      </c>
      <c r="J156" s="3"/>
      <c r="K156" s="3">
        <v>0</v>
      </c>
      <c r="L156" s="3"/>
      <c r="M156" s="3">
        <v>0</v>
      </c>
      <c r="N156" s="3"/>
      <c r="O156" s="3">
        <v>0</v>
      </c>
      <c r="P156" s="3"/>
      <c r="Q156" s="3">
        <v>0</v>
      </c>
      <c r="R156" s="3"/>
      <c r="S156" s="3">
        <v>0</v>
      </c>
      <c r="T156" s="3"/>
      <c r="U156" s="3">
        <v>0</v>
      </c>
      <c r="V156" s="3"/>
      <c r="W156" s="3">
        <v>0</v>
      </c>
      <c r="X156" s="3"/>
      <c r="Y156" s="3">
        <v>0</v>
      </c>
      <c r="Z156" s="3"/>
      <c r="AA156" s="3">
        <v>0</v>
      </c>
      <c r="AC156" s="9">
        <f t="shared" si="2"/>
        <v>0</v>
      </c>
    </row>
    <row r="157" spans="1:29" s="9" customFormat="1" ht="12" hidden="1">
      <c r="A157" s="9" t="s">
        <v>227</v>
      </c>
      <c r="C157" s="9" t="s">
        <v>27</v>
      </c>
      <c r="E157" s="3">
        <v>0</v>
      </c>
      <c r="F157" s="3"/>
      <c r="G157" s="3">
        <v>0</v>
      </c>
      <c r="H157" s="3"/>
      <c r="I157" s="3">
        <v>0</v>
      </c>
      <c r="J157" s="3"/>
      <c r="K157" s="3">
        <v>0</v>
      </c>
      <c r="L157" s="3"/>
      <c r="M157" s="3">
        <v>0</v>
      </c>
      <c r="N157" s="3"/>
      <c r="O157" s="3">
        <v>0</v>
      </c>
      <c r="P157" s="3"/>
      <c r="Q157" s="3">
        <v>0</v>
      </c>
      <c r="R157" s="3"/>
      <c r="S157" s="3">
        <v>0</v>
      </c>
      <c r="T157" s="3"/>
      <c r="U157" s="3">
        <v>0</v>
      </c>
      <c r="V157" s="3"/>
      <c r="W157" s="3">
        <v>0</v>
      </c>
      <c r="X157" s="3"/>
      <c r="Y157" s="3">
        <v>0</v>
      </c>
      <c r="Z157" s="3"/>
      <c r="AA157" s="3">
        <v>0</v>
      </c>
      <c r="AC157" s="9">
        <f t="shared" si="2"/>
        <v>0</v>
      </c>
    </row>
    <row r="158" spans="1:29" s="9" customFormat="1" ht="12">
      <c r="A158" s="9" t="s">
        <v>171</v>
      </c>
      <c r="C158" s="9" t="s">
        <v>172</v>
      </c>
      <c r="E158" s="3">
        <v>0</v>
      </c>
      <c r="F158" s="3"/>
      <c r="G158" s="3">
        <v>465483</v>
      </c>
      <c r="H158" s="3"/>
      <c r="I158" s="3">
        <v>0</v>
      </c>
      <c r="J158" s="3"/>
      <c r="K158" s="3">
        <v>13040</v>
      </c>
      <c r="L158" s="3"/>
      <c r="M158" s="3">
        <v>0</v>
      </c>
      <c r="N158" s="3"/>
      <c r="O158" s="3">
        <v>0</v>
      </c>
      <c r="P158" s="3"/>
      <c r="Q158" s="3">
        <v>12790</v>
      </c>
      <c r="R158" s="3"/>
      <c r="S158" s="3">
        <v>0</v>
      </c>
      <c r="T158" s="3"/>
      <c r="U158" s="3">
        <v>0</v>
      </c>
      <c r="V158" s="3"/>
      <c r="W158" s="3">
        <v>30000</v>
      </c>
      <c r="X158" s="3"/>
      <c r="Y158" s="3">
        <v>0</v>
      </c>
      <c r="Z158" s="3"/>
      <c r="AA158" s="3">
        <v>0</v>
      </c>
      <c r="AC158" s="9">
        <f t="shared" si="2"/>
        <v>521313</v>
      </c>
    </row>
    <row r="159" spans="1:62" s="9" customFormat="1" ht="12">
      <c r="A159" s="38" t="s">
        <v>173</v>
      </c>
      <c r="B159" s="38"/>
      <c r="C159" s="38" t="s">
        <v>46</v>
      </c>
      <c r="D159" s="38"/>
      <c r="E159" s="38">
        <v>57784.08</v>
      </c>
      <c r="F159" s="38"/>
      <c r="G159" s="38">
        <v>324380.43</v>
      </c>
      <c r="H159" s="38"/>
      <c r="I159" s="38">
        <v>0</v>
      </c>
      <c r="J159" s="38"/>
      <c r="K159" s="38">
        <v>20607.74</v>
      </c>
      <c r="L159" s="38"/>
      <c r="M159" s="38">
        <v>0</v>
      </c>
      <c r="N159" s="38"/>
      <c r="O159" s="38">
        <v>36239.44</v>
      </c>
      <c r="P159" s="38"/>
      <c r="Q159" s="38">
        <v>2820.46</v>
      </c>
      <c r="R159" s="38"/>
      <c r="S159" s="38">
        <v>892.67</v>
      </c>
      <c r="T159" s="38"/>
      <c r="U159" s="38">
        <v>10624.02</v>
      </c>
      <c r="V159" s="38"/>
      <c r="W159" s="38">
        <v>0</v>
      </c>
      <c r="X159" s="38"/>
      <c r="Y159" s="38">
        <v>0</v>
      </c>
      <c r="Z159" s="38"/>
      <c r="AA159" s="38">
        <v>0</v>
      </c>
      <c r="AB159" s="38"/>
      <c r="AC159" s="9">
        <f t="shared" si="2"/>
        <v>453348.84</v>
      </c>
      <c r="AD159" s="43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</row>
    <row r="160" spans="1:29" s="9" customFormat="1" ht="12">
      <c r="A160" s="9" t="s">
        <v>174</v>
      </c>
      <c r="C160" s="9" t="s">
        <v>175</v>
      </c>
      <c r="E160" s="3">
        <v>43347</v>
      </c>
      <c r="F160" s="3"/>
      <c r="G160" s="3">
        <v>433976</v>
      </c>
      <c r="H160" s="3"/>
      <c r="I160" s="3">
        <v>5009</v>
      </c>
      <c r="J160" s="3"/>
      <c r="K160" s="3">
        <v>7765</v>
      </c>
      <c r="L160" s="3"/>
      <c r="M160" s="3">
        <v>0</v>
      </c>
      <c r="N160" s="3"/>
      <c r="O160" s="3">
        <v>44005</v>
      </c>
      <c r="P160" s="3"/>
      <c r="Q160" s="3">
        <v>76452</v>
      </c>
      <c r="R160" s="3"/>
      <c r="S160" s="3">
        <v>5928</v>
      </c>
      <c r="T160" s="3"/>
      <c r="U160" s="3">
        <v>0</v>
      </c>
      <c r="V160" s="3"/>
      <c r="W160" s="3">
        <v>0</v>
      </c>
      <c r="X160" s="3"/>
      <c r="Y160" s="3">
        <v>0</v>
      </c>
      <c r="Z160" s="3"/>
      <c r="AA160" s="3">
        <v>0</v>
      </c>
      <c r="AC160" s="9">
        <f t="shared" si="2"/>
        <v>616482</v>
      </c>
    </row>
    <row r="161" spans="1:62" s="9" customFormat="1" ht="12">
      <c r="A161" s="38" t="s">
        <v>525</v>
      </c>
      <c r="B161" s="38"/>
      <c r="C161" s="38" t="s">
        <v>60</v>
      </c>
      <c r="D161" s="38"/>
      <c r="E161" s="38">
        <v>0</v>
      </c>
      <c r="F161" s="38"/>
      <c r="G161" s="38">
        <v>398863.82</v>
      </c>
      <c r="H161" s="38"/>
      <c r="I161" s="38">
        <v>0</v>
      </c>
      <c r="J161" s="38"/>
      <c r="K161" s="38">
        <v>14633.16</v>
      </c>
      <c r="L161" s="38"/>
      <c r="M161" s="38">
        <v>0</v>
      </c>
      <c r="N161" s="38"/>
      <c r="O161" s="38">
        <v>20575.85</v>
      </c>
      <c r="P161" s="38"/>
      <c r="Q161" s="38">
        <v>8460.03</v>
      </c>
      <c r="R161" s="38"/>
      <c r="S161" s="38">
        <v>530.45</v>
      </c>
      <c r="T161" s="38"/>
      <c r="U161" s="38">
        <v>0</v>
      </c>
      <c r="V161" s="38"/>
      <c r="W161" s="38">
        <v>0</v>
      </c>
      <c r="X161" s="38"/>
      <c r="Y161" s="38">
        <v>0</v>
      </c>
      <c r="Z161" s="38"/>
      <c r="AA161" s="38">
        <v>0</v>
      </c>
      <c r="AB161" s="38"/>
      <c r="AC161" s="9">
        <f t="shared" si="2"/>
        <v>443063.31</v>
      </c>
      <c r="AD161" s="39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</row>
    <row r="162" spans="1:29" s="9" customFormat="1" ht="12" hidden="1">
      <c r="A162" s="9" t="s">
        <v>233</v>
      </c>
      <c r="C162" s="9" t="s">
        <v>13</v>
      </c>
      <c r="E162" s="3">
        <v>0</v>
      </c>
      <c r="F162" s="3"/>
      <c r="G162" s="3">
        <v>0</v>
      </c>
      <c r="H162" s="3"/>
      <c r="I162" s="3">
        <v>0</v>
      </c>
      <c r="J162" s="3"/>
      <c r="K162" s="3">
        <v>0</v>
      </c>
      <c r="L162" s="3"/>
      <c r="M162" s="3">
        <v>0</v>
      </c>
      <c r="N162" s="3"/>
      <c r="O162" s="3">
        <v>0</v>
      </c>
      <c r="P162" s="3"/>
      <c r="Q162" s="3">
        <v>0</v>
      </c>
      <c r="R162" s="3"/>
      <c r="S162" s="3">
        <v>0</v>
      </c>
      <c r="T162" s="3"/>
      <c r="U162" s="3">
        <v>0</v>
      </c>
      <c r="V162" s="3"/>
      <c r="W162" s="3">
        <v>0</v>
      </c>
      <c r="X162" s="3"/>
      <c r="Y162" s="3">
        <v>0</v>
      </c>
      <c r="Z162" s="3"/>
      <c r="AA162" s="3">
        <v>0</v>
      </c>
      <c r="AC162" s="9">
        <f t="shared" si="2"/>
        <v>0</v>
      </c>
    </row>
    <row r="163" spans="1:62" s="9" customFormat="1" ht="12">
      <c r="A163" s="38" t="s">
        <v>176</v>
      </c>
      <c r="B163" s="38"/>
      <c r="C163" s="38" t="s">
        <v>61</v>
      </c>
      <c r="D163" s="38"/>
      <c r="E163" s="38">
        <v>1412969.31</v>
      </c>
      <c r="F163" s="38"/>
      <c r="G163" s="38">
        <v>0</v>
      </c>
      <c r="H163" s="38"/>
      <c r="I163" s="38">
        <v>2025</v>
      </c>
      <c r="J163" s="38"/>
      <c r="K163" s="38">
        <v>67294.31</v>
      </c>
      <c r="L163" s="38"/>
      <c r="M163" s="38">
        <v>0</v>
      </c>
      <c r="N163" s="38"/>
      <c r="O163" s="38">
        <v>38603.74</v>
      </c>
      <c r="P163" s="38"/>
      <c r="Q163" s="38">
        <v>143573.16</v>
      </c>
      <c r="R163" s="38"/>
      <c r="S163" s="38">
        <v>5191</v>
      </c>
      <c r="T163" s="38"/>
      <c r="U163" s="38">
        <v>0</v>
      </c>
      <c r="V163" s="38"/>
      <c r="W163" s="38">
        <v>0</v>
      </c>
      <c r="X163" s="38"/>
      <c r="Y163" s="38">
        <v>0</v>
      </c>
      <c r="Z163" s="38"/>
      <c r="AA163" s="38">
        <v>0</v>
      </c>
      <c r="AB163" s="38"/>
      <c r="AC163" s="9">
        <f t="shared" si="2"/>
        <v>1669656.52</v>
      </c>
      <c r="AD163" s="39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</row>
    <row r="164" spans="1:29" s="9" customFormat="1" ht="12">
      <c r="A164" s="9" t="s">
        <v>177</v>
      </c>
      <c r="C164" s="9" t="s">
        <v>63</v>
      </c>
      <c r="E164" s="3">
        <v>124380</v>
      </c>
      <c r="F164" s="3"/>
      <c r="G164" s="3">
        <v>0</v>
      </c>
      <c r="H164" s="3"/>
      <c r="I164" s="3">
        <v>0</v>
      </c>
      <c r="J164" s="3"/>
      <c r="K164" s="3">
        <v>265</v>
      </c>
      <c r="L164" s="3"/>
      <c r="M164" s="3">
        <v>0</v>
      </c>
      <c r="N164" s="3"/>
      <c r="O164" s="3">
        <v>411</v>
      </c>
      <c r="P164" s="3"/>
      <c r="Q164" s="3">
        <v>5036</v>
      </c>
      <c r="R164" s="3"/>
      <c r="S164" s="3">
        <v>859</v>
      </c>
      <c r="T164" s="3"/>
      <c r="U164" s="3">
        <v>0</v>
      </c>
      <c r="V164" s="3"/>
      <c r="W164" s="3">
        <v>0</v>
      </c>
      <c r="X164" s="3"/>
      <c r="Y164" s="3">
        <v>0</v>
      </c>
      <c r="Z164" s="3"/>
      <c r="AA164" s="3">
        <v>0</v>
      </c>
      <c r="AC164" s="9">
        <f t="shared" si="2"/>
        <v>130951</v>
      </c>
    </row>
    <row r="165" spans="1:62" s="9" customFormat="1" ht="12">
      <c r="A165" s="38" t="s">
        <v>352</v>
      </c>
      <c r="B165" s="38"/>
      <c r="C165" s="38" t="s">
        <v>178</v>
      </c>
      <c r="D165" s="38"/>
      <c r="E165" s="38">
        <v>0</v>
      </c>
      <c r="F165" s="38"/>
      <c r="G165" s="38">
        <v>1277620.2</v>
      </c>
      <c r="H165" s="38"/>
      <c r="I165" s="38">
        <v>0</v>
      </c>
      <c r="J165" s="38"/>
      <c r="K165" s="38">
        <v>29293.16</v>
      </c>
      <c r="L165" s="38"/>
      <c r="M165" s="38">
        <v>0</v>
      </c>
      <c r="N165" s="38"/>
      <c r="O165" s="38">
        <v>1323.87</v>
      </c>
      <c r="P165" s="38"/>
      <c r="Q165" s="38">
        <v>7128.48</v>
      </c>
      <c r="R165" s="38"/>
      <c r="S165" s="38">
        <v>1177.6</v>
      </c>
      <c r="T165" s="38"/>
      <c r="U165" s="38">
        <v>200</v>
      </c>
      <c r="V165" s="38"/>
      <c r="W165" s="38">
        <v>0</v>
      </c>
      <c r="X165" s="38"/>
      <c r="Y165" s="38">
        <v>0</v>
      </c>
      <c r="Z165" s="38"/>
      <c r="AA165" s="38">
        <v>0</v>
      </c>
      <c r="AB165" s="38"/>
      <c r="AC165" s="9">
        <f t="shared" si="2"/>
        <v>1316743.31</v>
      </c>
      <c r="AD165" s="39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</row>
    <row r="166" spans="1:62" s="9" customFormat="1" ht="12">
      <c r="A166" s="38" t="s">
        <v>353</v>
      </c>
      <c r="B166" s="38"/>
      <c r="C166" s="38" t="s">
        <v>44</v>
      </c>
      <c r="D166" s="38"/>
      <c r="E166" s="38">
        <v>0</v>
      </c>
      <c r="F166" s="38"/>
      <c r="G166" s="38">
        <v>225940.57</v>
      </c>
      <c r="H166" s="38"/>
      <c r="I166" s="38">
        <v>0</v>
      </c>
      <c r="J166" s="38"/>
      <c r="K166" s="38">
        <v>2485.88</v>
      </c>
      <c r="L166" s="38"/>
      <c r="M166" s="38">
        <v>0</v>
      </c>
      <c r="N166" s="38"/>
      <c r="O166" s="38">
        <v>885</v>
      </c>
      <c r="P166" s="38"/>
      <c r="Q166" s="38">
        <v>5643.93</v>
      </c>
      <c r="R166" s="38"/>
      <c r="S166" s="38">
        <v>6669.46</v>
      </c>
      <c r="T166" s="38"/>
      <c r="U166" s="38">
        <v>0</v>
      </c>
      <c r="V166" s="38"/>
      <c r="W166" s="38">
        <v>0</v>
      </c>
      <c r="X166" s="38"/>
      <c r="Y166" s="38">
        <v>0</v>
      </c>
      <c r="Z166" s="38"/>
      <c r="AA166" s="38">
        <v>0</v>
      </c>
      <c r="AB166" s="38"/>
      <c r="AC166" s="9">
        <f t="shared" si="2"/>
        <v>241624.84</v>
      </c>
      <c r="AD166" s="39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</row>
    <row r="167" spans="1:29" s="9" customFormat="1" ht="12" hidden="1">
      <c r="A167" s="9" t="s">
        <v>236</v>
      </c>
      <c r="C167" s="9" t="s">
        <v>237</v>
      </c>
      <c r="E167" s="3">
        <v>0</v>
      </c>
      <c r="F167" s="3"/>
      <c r="G167" s="3">
        <v>0</v>
      </c>
      <c r="H167" s="3"/>
      <c r="I167" s="3">
        <v>0</v>
      </c>
      <c r="J167" s="3"/>
      <c r="K167" s="3">
        <v>0</v>
      </c>
      <c r="L167" s="3"/>
      <c r="M167" s="3">
        <v>0</v>
      </c>
      <c r="N167" s="3"/>
      <c r="O167" s="3">
        <v>0</v>
      </c>
      <c r="P167" s="3"/>
      <c r="Q167" s="3">
        <v>0</v>
      </c>
      <c r="R167" s="3"/>
      <c r="S167" s="3">
        <v>0</v>
      </c>
      <c r="T167" s="3"/>
      <c r="U167" s="3">
        <v>0</v>
      </c>
      <c r="V167" s="3"/>
      <c r="W167" s="3">
        <v>0</v>
      </c>
      <c r="X167" s="3"/>
      <c r="Y167" s="3">
        <v>0</v>
      </c>
      <c r="Z167" s="3"/>
      <c r="AA167" s="3">
        <v>0</v>
      </c>
      <c r="AC167" s="9">
        <f t="shared" si="2"/>
        <v>0</v>
      </c>
    </row>
    <row r="168" spans="1:29" s="9" customFormat="1" ht="12" hidden="1">
      <c r="A168" s="9" t="s">
        <v>238</v>
      </c>
      <c r="C168" s="9" t="s">
        <v>123</v>
      </c>
      <c r="E168" s="3">
        <v>0</v>
      </c>
      <c r="F168" s="3"/>
      <c r="G168" s="3">
        <v>0</v>
      </c>
      <c r="H168" s="3"/>
      <c r="I168" s="3">
        <v>0</v>
      </c>
      <c r="J168" s="3"/>
      <c r="K168" s="3">
        <v>0</v>
      </c>
      <c r="L168" s="3"/>
      <c r="M168" s="3">
        <v>0</v>
      </c>
      <c r="N168" s="3"/>
      <c r="O168" s="3">
        <v>0</v>
      </c>
      <c r="P168" s="3"/>
      <c r="Q168" s="3">
        <v>0</v>
      </c>
      <c r="R168" s="3"/>
      <c r="S168" s="3">
        <v>0</v>
      </c>
      <c r="T168" s="3"/>
      <c r="U168" s="3">
        <v>0</v>
      </c>
      <c r="V168" s="3"/>
      <c r="W168" s="3">
        <v>0</v>
      </c>
      <c r="X168" s="3"/>
      <c r="Y168" s="3">
        <v>0</v>
      </c>
      <c r="Z168" s="3"/>
      <c r="AA168" s="3">
        <v>0</v>
      </c>
      <c r="AC168" s="9">
        <f t="shared" si="2"/>
        <v>0</v>
      </c>
    </row>
    <row r="169" spans="1:62" s="9" customFormat="1" ht="12">
      <c r="A169" s="38" t="s">
        <v>526</v>
      </c>
      <c r="B169" s="38"/>
      <c r="C169" s="38" t="s">
        <v>59</v>
      </c>
      <c r="D169" s="38"/>
      <c r="E169" s="38">
        <v>0</v>
      </c>
      <c r="F169" s="38"/>
      <c r="G169" s="38">
        <v>850106.23</v>
      </c>
      <c r="H169" s="38"/>
      <c r="I169" s="38">
        <v>0</v>
      </c>
      <c r="J169" s="38"/>
      <c r="K169" s="38">
        <v>19940.73</v>
      </c>
      <c r="L169" s="38"/>
      <c r="M169" s="38">
        <v>0</v>
      </c>
      <c r="N169" s="38"/>
      <c r="O169" s="38">
        <v>56422.28</v>
      </c>
      <c r="P169" s="38"/>
      <c r="Q169" s="38">
        <v>30238.49</v>
      </c>
      <c r="R169" s="38"/>
      <c r="S169" s="38">
        <v>2190.99</v>
      </c>
      <c r="T169" s="38"/>
      <c r="U169" s="38">
        <v>0</v>
      </c>
      <c r="V169" s="38"/>
      <c r="W169" s="38">
        <v>0</v>
      </c>
      <c r="X169" s="38"/>
      <c r="Y169" s="38">
        <v>0</v>
      </c>
      <c r="Z169" s="38"/>
      <c r="AA169" s="38">
        <v>0</v>
      </c>
      <c r="AB169" s="38"/>
      <c r="AC169" s="9">
        <f t="shared" si="2"/>
        <v>958898.72</v>
      </c>
      <c r="AD169" s="39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</row>
    <row r="170" spans="1:29" s="9" customFormat="1" ht="12" hidden="1">
      <c r="A170" s="9" t="s">
        <v>239</v>
      </c>
      <c r="C170" s="9" t="s">
        <v>84</v>
      </c>
      <c r="E170" s="3">
        <v>0</v>
      </c>
      <c r="F170" s="3"/>
      <c r="G170" s="3">
        <v>0</v>
      </c>
      <c r="H170" s="3"/>
      <c r="I170" s="3">
        <v>0</v>
      </c>
      <c r="J170" s="3"/>
      <c r="K170" s="3">
        <v>0</v>
      </c>
      <c r="L170" s="3"/>
      <c r="M170" s="3">
        <v>0</v>
      </c>
      <c r="N170" s="3"/>
      <c r="O170" s="3">
        <v>0</v>
      </c>
      <c r="P170" s="3"/>
      <c r="Q170" s="3">
        <v>0</v>
      </c>
      <c r="R170" s="3"/>
      <c r="S170" s="3">
        <v>0</v>
      </c>
      <c r="T170" s="3"/>
      <c r="U170" s="3">
        <v>0</v>
      </c>
      <c r="V170" s="3"/>
      <c r="W170" s="3">
        <v>0</v>
      </c>
      <c r="X170" s="3"/>
      <c r="Y170" s="3">
        <v>0</v>
      </c>
      <c r="Z170" s="3"/>
      <c r="AA170" s="3">
        <v>0</v>
      </c>
      <c r="AC170" s="9">
        <f t="shared" si="2"/>
        <v>0</v>
      </c>
    </row>
    <row r="171" spans="1:29" s="9" customFormat="1" ht="12" hidden="1">
      <c r="A171" s="9" t="s">
        <v>240</v>
      </c>
      <c r="C171" s="9" t="s">
        <v>69</v>
      </c>
      <c r="E171" s="3">
        <v>0</v>
      </c>
      <c r="F171" s="3"/>
      <c r="G171" s="3">
        <v>0</v>
      </c>
      <c r="H171" s="3"/>
      <c r="I171" s="3">
        <v>0</v>
      </c>
      <c r="J171" s="3"/>
      <c r="K171" s="3">
        <v>0</v>
      </c>
      <c r="L171" s="3"/>
      <c r="M171" s="3">
        <v>0</v>
      </c>
      <c r="N171" s="3"/>
      <c r="O171" s="3">
        <v>0</v>
      </c>
      <c r="P171" s="3"/>
      <c r="Q171" s="3">
        <v>0</v>
      </c>
      <c r="R171" s="3"/>
      <c r="S171" s="3">
        <v>0</v>
      </c>
      <c r="T171" s="3"/>
      <c r="U171" s="3">
        <v>0</v>
      </c>
      <c r="V171" s="3"/>
      <c r="W171" s="3">
        <v>0</v>
      </c>
      <c r="X171" s="3"/>
      <c r="Y171" s="3">
        <v>0</v>
      </c>
      <c r="Z171" s="3"/>
      <c r="AA171" s="3">
        <v>0</v>
      </c>
      <c r="AC171" s="9">
        <f t="shared" si="2"/>
        <v>0</v>
      </c>
    </row>
    <row r="172" spans="1:29" s="9" customFormat="1" ht="12">
      <c r="A172" s="9" t="s">
        <v>180</v>
      </c>
      <c r="C172" s="9" t="s">
        <v>23</v>
      </c>
      <c r="E172" s="3">
        <v>1416704</v>
      </c>
      <c r="F172" s="3"/>
      <c r="G172" s="3">
        <v>1075121</v>
      </c>
      <c r="H172" s="3"/>
      <c r="I172" s="3">
        <v>51762</v>
      </c>
      <c r="J172" s="3"/>
      <c r="K172" s="3">
        <v>20133</v>
      </c>
      <c r="L172" s="3"/>
      <c r="M172" s="3">
        <v>0</v>
      </c>
      <c r="N172" s="3"/>
      <c r="O172" s="3">
        <v>22391</v>
      </c>
      <c r="P172" s="3"/>
      <c r="Q172" s="3">
        <v>5007</v>
      </c>
      <c r="R172" s="3"/>
      <c r="S172" s="3">
        <v>0</v>
      </c>
      <c r="T172" s="3"/>
      <c r="U172" s="3">
        <v>0</v>
      </c>
      <c r="V172" s="3"/>
      <c r="W172" s="3">
        <v>0</v>
      </c>
      <c r="X172" s="3"/>
      <c r="Y172" s="3">
        <v>0</v>
      </c>
      <c r="Z172" s="3"/>
      <c r="AA172" s="3">
        <v>0</v>
      </c>
      <c r="AB172" s="3"/>
      <c r="AC172" s="9">
        <f t="shared" si="2"/>
        <v>2591118</v>
      </c>
    </row>
    <row r="173" spans="1:29" s="9" customFormat="1" ht="12" hidden="1">
      <c r="A173" s="9" t="s">
        <v>241</v>
      </c>
      <c r="C173" s="9" t="s">
        <v>27</v>
      </c>
      <c r="E173" s="3">
        <v>0</v>
      </c>
      <c r="F173" s="3"/>
      <c r="G173" s="3">
        <v>0</v>
      </c>
      <c r="H173" s="3"/>
      <c r="I173" s="3">
        <v>0</v>
      </c>
      <c r="J173" s="3"/>
      <c r="K173" s="3">
        <v>0</v>
      </c>
      <c r="L173" s="3"/>
      <c r="M173" s="3">
        <v>0</v>
      </c>
      <c r="N173" s="3"/>
      <c r="O173" s="3">
        <v>0</v>
      </c>
      <c r="P173" s="3"/>
      <c r="Q173" s="3">
        <v>0</v>
      </c>
      <c r="R173" s="3"/>
      <c r="S173" s="3">
        <v>0</v>
      </c>
      <c r="T173" s="3"/>
      <c r="U173" s="3">
        <v>0</v>
      </c>
      <c r="V173" s="3"/>
      <c r="W173" s="3">
        <v>0</v>
      </c>
      <c r="X173" s="3"/>
      <c r="Y173" s="3">
        <v>0</v>
      </c>
      <c r="Z173" s="3"/>
      <c r="AA173" s="3">
        <v>0</v>
      </c>
      <c r="AC173" s="9">
        <f t="shared" si="2"/>
        <v>0</v>
      </c>
    </row>
    <row r="174" spans="1:29" s="9" customFormat="1" ht="12">
      <c r="A174" s="9" t="s">
        <v>181</v>
      </c>
      <c r="C174" s="9" t="s">
        <v>182</v>
      </c>
      <c r="E174" s="3">
        <v>291809</v>
      </c>
      <c r="F174" s="3"/>
      <c r="G174" s="3">
        <v>395283</v>
      </c>
      <c r="H174" s="3"/>
      <c r="I174" s="3">
        <v>0</v>
      </c>
      <c r="J174" s="3"/>
      <c r="K174" s="3">
        <v>39696</v>
      </c>
      <c r="L174" s="3"/>
      <c r="M174" s="3">
        <v>0</v>
      </c>
      <c r="N174" s="3"/>
      <c r="O174" s="3">
        <v>4551</v>
      </c>
      <c r="P174" s="3"/>
      <c r="Q174" s="3">
        <v>19506</v>
      </c>
      <c r="R174" s="3"/>
      <c r="S174" s="3">
        <v>6964</v>
      </c>
      <c r="T174" s="3"/>
      <c r="U174" s="3">
        <v>0</v>
      </c>
      <c r="V174" s="3"/>
      <c r="W174" s="3">
        <v>0</v>
      </c>
      <c r="X174" s="3"/>
      <c r="Y174" s="3">
        <v>0</v>
      </c>
      <c r="Z174" s="3"/>
      <c r="AA174" s="3">
        <v>0</v>
      </c>
      <c r="AC174" s="9">
        <f t="shared" si="2"/>
        <v>757809</v>
      </c>
    </row>
    <row r="175" spans="1:29" s="9" customFormat="1" ht="12" hidden="1">
      <c r="A175" s="9" t="s">
        <v>243</v>
      </c>
      <c r="C175" s="9" t="s">
        <v>244</v>
      </c>
      <c r="E175" s="3">
        <v>0</v>
      </c>
      <c r="F175" s="3"/>
      <c r="G175" s="3">
        <v>0</v>
      </c>
      <c r="H175" s="3"/>
      <c r="I175" s="3">
        <v>0</v>
      </c>
      <c r="J175" s="3"/>
      <c r="K175" s="3">
        <v>0</v>
      </c>
      <c r="L175" s="3"/>
      <c r="M175" s="3">
        <v>0</v>
      </c>
      <c r="N175" s="3"/>
      <c r="O175" s="3">
        <v>0</v>
      </c>
      <c r="P175" s="3"/>
      <c r="Q175" s="3">
        <v>0</v>
      </c>
      <c r="R175" s="3"/>
      <c r="S175" s="3">
        <v>0</v>
      </c>
      <c r="T175" s="3"/>
      <c r="U175" s="3">
        <v>0</v>
      </c>
      <c r="V175" s="3"/>
      <c r="W175" s="3">
        <v>0</v>
      </c>
      <c r="X175" s="3"/>
      <c r="Y175" s="3">
        <v>0</v>
      </c>
      <c r="Z175" s="3"/>
      <c r="AA175" s="3">
        <v>0</v>
      </c>
      <c r="AC175" s="9">
        <f t="shared" si="2"/>
        <v>0</v>
      </c>
    </row>
    <row r="176" spans="1:29" s="9" customFormat="1" ht="12" hidden="1">
      <c r="A176" s="9" t="s">
        <v>245</v>
      </c>
      <c r="C176" s="9" t="s">
        <v>45</v>
      </c>
      <c r="E176" s="3">
        <v>0</v>
      </c>
      <c r="F176" s="3"/>
      <c r="G176" s="3">
        <v>0</v>
      </c>
      <c r="H176" s="3"/>
      <c r="I176" s="3">
        <v>0</v>
      </c>
      <c r="J176" s="3"/>
      <c r="K176" s="3">
        <v>0</v>
      </c>
      <c r="L176" s="3"/>
      <c r="M176" s="3">
        <v>0</v>
      </c>
      <c r="N176" s="3"/>
      <c r="O176" s="3">
        <v>0</v>
      </c>
      <c r="P176" s="3"/>
      <c r="Q176" s="3">
        <v>0</v>
      </c>
      <c r="R176" s="3"/>
      <c r="S176" s="3">
        <v>0</v>
      </c>
      <c r="T176" s="3"/>
      <c r="U176" s="3">
        <v>0</v>
      </c>
      <c r="V176" s="3"/>
      <c r="W176" s="3">
        <v>0</v>
      </c>
      <c r="X176" s="3"/>
      <c r="Y176" s="3">
        <v>0</v>
      </c>
      <c r="Z176" s="3"/>
      <c r="AA176" s="3">
        <v>0</v>
      </c>
      <c r="AC176" s="9">
        <f aca="true" t="shared" si="3" ref="AC176:AC239">SUM(E176:AA176)</f>
        <v>0</v>
      </c>
    </row>
    <row r="177" spans="1:29" s="9" customFormat="1" ht="12" hidden="1">
      <c r="A177" s="9" t="s">
        <v>246</v>
      </c>
      <c r="C177" s="9" t="s">
        <v>68</v>
      </c>
      <c r="E177" s="3">
        <v>0</v>
      </c>
      <c r="F177" s="3"/>
      <c r="G177" s="3">
        <v>0</v>
      </c>
      <c r="H177" s="3"/>
      <c r="I177" s="3">
        <v>0</v>
      </c>
      <c r="J177" s="3"/>
      <c r="K177" s="3">
        <v>0</v>
      </c>
      <c r="L177" s="3"/>
      <c r="M177" s="3">
        <v>0</v>
      </c>
      <c r="N177" s="3"/>
      <c r="O177" s="3">
        <v>0</v>
      </c>
      <c r="P177" s="3"/>
      <c r="Q177" s="3">
        <v>0</v>
      </c>
      <c r="R177" s="3"/>
      <c r="S177" s="3">
        <v>0</v>
      </c>
      <c r="T177" s="3"/>
      <c r="U177" s="3">
        <v>0</v>
      </c>
      <c r="V177" s="3"/>
      <c r="W177" s="3">
        <v>0</v>
      </c>
      <c r="X177" s="3"/>
      <c r="Y177" s="3">
        <v>0</v>
      </c>
      <c r="Z177" s="3"/>
      <c r="AA177" s="3">
        <v>0</v>
      </c>
      <c r="AC177" s="9">
        <f t="shared" si="3"/>
        <v>0</v>
      </c>
    </row>
    <row r="178" spans="1:62" s="9" customFormat="1" ht="12">
      <c r="A178" s="38" t="s">
        <v>527</v>
      </c>
      <c r="B178" s="38"/>
      <c r="C178" s="38" t="s">
        <v>13</v>
      </c>
      <c r="D178" s="38"/>
      <c r="E178" s="38">
        <v>0</v>
      </c>
      <c r="F178" s="38"/>
      <c r="G178" s="38">
        <v>376566.45</v>
      </c>
      <c r="H178" s="38"/>
      <c r="I178" s="38">
        <v>0</v>
      </c>
      <c r="J178" s="38"/>
      <c r="K178" s="38">
        <v>7912.74</v>
      </c>
      <c r="L178" s="38"/>
      <c r="M178" s="38">
        <v>0</v>
      </c>
      <c r="N178" s="38"/>
      <c r="O178" s="38">
        <v>26116.32</v>
      </c>
      <c r="P178" s="38"/>
      <c r="Q178" s="38">
        <v>7163.12</v>
      </c>
      <c r="R178" s="38"/>
      <c r="S178" s="38">
        <v>3878.8</v>
      </c>
      <c r="T178" s="38"/>
      <c r="U178" s="38">
        <v>0</v>
      </c>
      <c r="V178" s="38"/>
      <c r="W178" s="38">
        <v>0</v>
      </c>
      <c r="X178" s="38"/>
      <c r="Y178" s="38">
        <v>0</v>
      </c>
      <c r="Z178" s="38"/>
      <c r="AA178" s="38">
        <v>0</v>
      </c>
      <c r="AB178" s="38"/>
      <c r="AC178" s="9">
        <f t="shared" si="3"/>
        <v>421637.43</v>
      </c>
      <c r="AD178" s="39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</row>
    <row r="179" spans="1:29" s="9" customFormat="1" ht="12">
      <c r="A179" s="9" t="s">
        <v>183</v>
      </c>
      <c r="C179" s="9" t="s">
        <v>172</v>
      </c>
      <c r="E179" s="3">
        <v>775806</v>
      </c>
      <c r="F179" s="3"/>
      <c r="G179" s="3">
        <v>1279</v>
      </c>
      <c r="H179" s="3"/>
      <c r="I179" s="3">
        <v>0</v>
      </c>
      <c r="J179" s="3"/>
      <c r="K179" s="3">
        <v>17224</v>
      </c>
      <c r="L179" s="3"/>
      <c r="M179" s="3">
        <v>0</v>
      </c>
      <c r="N179" s="3"/>
      <c r="O179" s="3">
        <v>9548</v>
      </c>
      <c r="P179" s="3"/>
      <c r="Q179" s="3">
        <v>17990</v>
      </c>
      <c r="R179" s="3"/>
      <c r="S179" s="3">
        <v>516</v>
      </c>
      <c r="T179" s="3"/>
      <c r="U179" s="3">
        <v>0</v>
      </c>
      <c r="V179" s="3"/>
      <c r="W179" s="3">
        <v>0</v>
      </c>
      <c r="X179" s="3"/>
      <c r="Y179" s="3">
        <v>0</v>
      </c>
      <c r="Z179" s="3"/>
      <c r="AA179" s="3">
        <v>0</v>
      </c>
      <c r="AC179" s="9">
        <f t="shared" si="3"/>
        <v>822363</v>
      </c>
    </row>
    <row r="180" spans="1:29" s="9" customFormat="1" ht="12" hidden="1">
      <c r="A180" s="9" t="s">
        <v>248</v>
      </c>
      <c r="C180" s="9" t="s">
        <v>95</v>
      </c>
      <c r="E180" s="3">
        <v>0</v>
      </c>
      <c r="F180" s="3"/>
      <c r="G180" s="3">
        <v>0</v>
      </c>
      <c r="H180" s="3"/>
      <c r="I180" s="3">
        <v>0</v>
      </c>
      <c r="J180" s="3"/>
      <c r="K180" s="3">
        <v>0</v>
      </c>
      <c r="L180" s="3"/>
      <c r="M180" s="3">
        <v>0</v>
      </c>
      <c r="N180" s="3"/>
      <c r="O180" s="3">
        <v>0</v>
      </c>
      <c r="P180" s="3"/>
      <c r="Q180" s="3">
        <v>0</v>
      </c>
      <c r="R180" s="3"/>
      <c r="S180" s="3">
        <v>0</v>
      </c>
      <c r="T180" s="3"/>
      <c r="U180" s="3">
        <v>0</v>
      </c>
      <c r="V180" s="3"/>
      <c r="W180" s="3">
        <v>0</v>
      </c>
      <c r="X180" s="3"/>
      <c r="Y180" s="3">
        <v>0</v>
      </c>
      <c r="Z180" s="3"/>
      <c r="AA180" s="3">
        <v>0</v>
      </c>
      <c r="AC180" s="9">
        <f t="shared" si="3"/>
        <v>0</v>
      </c>
    </row>
    <row r="181" spans="1:62" s="9" customFormat="1" ht="12">
      <c r="A181" s="38" t="s">
        <v>389</v>
      </c>
      <c r="B181" s="38"/>
      <c r="C181" s="38" t="s">
        <v>56</v>
      </c>
      <c r="D181" s="38"/>
      <c r="E181" s="38">
        <v>0</v>
      </c>
      <c r="F181" s="38"/>
      <c r="G181" s="38">
        <v>276661.02</v>
      </c>
      <c r="H181" s="38"/>
      <c r="I181" s="38">
        <v>0</v>
      </c>
      <c r="J181" s="38"/>
      <c r="K181" s="38">
        <v>4258.53</v>
      </c>
      <c r="L181" s="38"/>
      <c r="M181" s="38">
        <v>0</v>
      </c>
      <c r="N181" s="38"/>
      <c r="O181" s="38">
        <v>29495</v>
      </c>
      <c r="P181" s="38"/>
      <c r="Q181" s="38">
        <v>29854.82</v>
      </c>
      <c r="R181" s="38"/>
      <c r="S181" s="38">
        <v>2410.62</v>
      </c>
      <c r="T181" s="38"/>
      <c r="U181" s="38">
        <v>0</v>
      </c>
      <c r="V181" s="38"/>
      <c r="W181" s="38">
        <v>0</v>
      </c>
      <c r="X181" s="38"/>
      <c r="Y181" s="38">
        <v>0</v>
      </c>
      <c r="Z181" s="38"/>
      <c r="AA181" s="38">
        <v>0</v>
      </c>
      <c r="AB181" s="38"/>
      <c r="AC181" s="9">
        <f t="shared" si="3"/>
        <v>342679.99000000005</v>
      </c>
      <c r="AD181" s="39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</row>
    <row r="182" spans="1:62" s="9" customFormat="1" ht="12">
      <c r="A182" s="38" t="s">
        <v>185</v>
      </c>
      <c r="B182" s="38"/>
      <c r="C182" s="38" t="s">
        <v>186</v>
      </c>
      <c r="D182" s="38"/>
      <c r="E182" s="38">
        <v>0</v>
      </c>
      <c r="F182" s="38"/>
      <c r="G182" s="38">
        <v>490220.61</v>
      </c>
      <c r="H182" s="38"/>
      <c r="I182" s="38">
        <v>0</v>
      </c>
      <c r="J182" s="38"/>
      <c r="K182" s="38">
        <v>14364.8</v>
      </c>
      <c r="L182" s="38"/>
      <c r="M182" s="38">
        <v>0</v>
      </c>
      <c r="N182" s="38"/>
      <c r="O182" s="38">
        <v>8918.27</v>
      </c>
      <c r="P182" s="38"/>
      <c r="Q182" s="38">
        <v>18534.85</v>
      </c>
      <c r="R182" s="38"/>
      <c r="S182" s="38">
        <v>3021.81</v>
      </c>
      <c r="T182" s="38"/>
      <c r="U182" s="38">
        <v>1590.75</v>
      </c>
      <c r="V182" s="38"/>
      <c r="W182" s="38">
        <v>0</v>
      </c>
      <c r="X182" s="38"/>
      <c r="Y182" s="38">
        <v>0</v>
      </c>
      <c r="Z182" s="38"/>
      <c r="AA182" s="38">
        <v>0</v>
      </c>
      <c r="AB182" s="38"/>
      <c r="AC182" s="9">
        <f t="shared" si="3"/>
        <v>536651.0900000001</v>
      </c>
      <c r="AD182" s="39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</row>
    <row r="183" spans="1:29" s="9" customFormat="1" ht="12" hidden="1">
      <c r="A183" s="9" t="s">
        <v>251</v>
      </c>
      <c r="C183" s="9" t="s">
        <v>60</v>
      </c>
      <c r="E183" s="3">
        <v>0</v>
      </c>
      <c r="F183" s="3"/>
      <c r="G183" s="3">
        <v>0</v>
      </c>
      <c r="H183" s="3"/>
      <c r="I183" s="3">
        <v>0</v>
      </c>
      <c r="J183" s="3"/>
      <c r="K183" s="3">
        <v>0</v>
      </c>
      <c r="L183" s="3"/>
      <c r="M183" s="3">
        <v>0</v>
      </c>
      <c r="N183" s="3"/>
      <c r="O183" s="3">
        <v>0</v>
      </c>
      <c r="P183" s="3"/>
      <c r="Q183" s="3">
        <v>0</v>
      </c>
      <c r="R183" s="3"/>
      <c r="S183" s="3">
        <v>0</v>
      </c>
      <c r="T183" s="3"/>
      <c r="U183" s="3">
        <v>0</v>
      </c>
      <c r="V183" s="3"/>
      <c r="W183" s="3">
        <v>0</v>
      </c>
      <c r="X183" s="3"/>
      <c r="Y183" s="3">
        <v>0</v>
      </c>
      <c r="Z183" s="3"/>
      <c r="AA183" s="3">
        <v>0</v>
      </c>
      <c r="AC183" s="9">
        <f t="shared" si="3"/>
        <v>0</v>
      </c>
    </row>
    <row r="184" spans="1:29" s="9" customFormat="1" ht="12" hidden="1">
      <c r="A184" s="9" t="s">
        <v>359</v>
      </c>
      <c r="C184" s="9" t="s">
        <v>186</v>
      </c>
      <c r="E184" s="3">
        <v>0</v>
      </c>
      <c r="F184" s="3"/>
      <c r="G184" s="3">
        <v>0</v>
      </c>
      <c r="H184" s="3"/>
      <c r="I184" s="3">
        <v>0</v>
      </c>
      <c r="J184" s="3"/>
      <c r="K184" s="3">
        <v>0</v>
      </c>
      <c r="L184" s="3"/>
      <c r="M184" s="3">
        <v>0</v>
      </c>
      <c r="N184" s="3"/>
      <c r="O184" s="3">
        <v>0</v>
      </c>
      <c r="P184" s="3"/>
      <c r="Q184" s="3">
        <v>0</v>
      </c>
      <c r="R184" s="3"/>
      <c r="S184" s="3">
        <v>0</v>
      </c>
      <c r="T184" s="3"/>
      <c r="U184" s="3">
        <v>0</v>
      </c>
      <c r="V184" s="3"/>
      <c r="W184" s="3">
        <v>0</v>
      </c>
      <c r="X184" s="3"/>
      <c r="Y184" s="3">
        <v>0</v>
      </c>
      <c r="Z184" s="3"/>
      <c r="AA184" s="3">
        <v>0</v>
      </c>
      <c r="AC184" s="9">
        <f t="shared" si="3"/>
        <v>0</v>
      </c>
    </row>
    <row r="185" spans="1:62" s="9" customFormat="1" ht="12">
      <c r="A185" s="38" t="s">
        <v>187</v>
      </c>
      <c r="B185" s="38"/>
      <c r="C185" s="38" t="s">
        <v>62</v>
      </c>
      <c r="D185" s="38"/>
      <c r="E185" s="38">
        <v>0</v>
      </c>
      <c r="F185" s="38"/>
      <c r="G185" s="38">
        <v>529470.04</v>
      </c>
      <c r="H185" s="38"/>
      <c r="I185" s="38">
        <v>0</v>
      </c>
      <c r="J185" s="38"/>
      <c r="K185" s="38">
        <v>15334.44</v>
      </c>
      <c r="L185" s="38"/>
      <c r="M185" s="38">
        <v>0</v>
      </c>
      <c r="N185" s="38"/>
      <c r="O185" s="38">
        <v>1876</v>
      </c>
      <c r="P185" s="38"/>
      <c r="Q185" s="38">
        <v>21639.86</v>
      </c>
      <c r="R185" s="38"/>
      <c r="S185" s="38">
        <v>8400.57</v>
      </c>
      <c r="T185" s="38"/>
      <c r="U185" s="38">
        <v>0</v>
      </c>
      <c r="V185" s="38"/>
      <c r="W185" s="38">
        <v>0</v>
      </c>
      <c r="X185" s="38"/>
      <c r="Y185" s="38">
        <v>0</v>
      </c>
      <c r="Z185" s="38"/>
      <c r="AA185" s="38">
        <v>0</v>
      </c>
      <c r="AB185" s="38"/>
      <c r="AC185" s="9">
        <f t="shared" si="3"/>
        <v>576720.9099999999</v>
      </c>
      <c r="AD185" s="39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</row>
    <row r="186" spans="1:29" s="9" customFormat="1" ht="12" hidden="1">
      <c r="A186" s="9" t="s">
        <v>255</v>
      </c>
      <c r="C186" s="9" t="s">
        <v>44</v>
      </c>
      <c r="E186" s="3">
        <v>0</v>
      </c>
      <c r="F186" s="3"/>
      <c r="G186" s="3">
        <v>0</v>
      </c>
      <c r="H186" s="3"/>
      <c r="I186" s="3">
        <v>0</v>
      </c>
      <c r="J186" s="3"/>
      <c r="K186" s="3">
        <v>0</v>
      </c>
      <c r="L186" s="3"/>
      <c r="M186" s="3">
        <v>0</v>
      </c>
      <c r="N186" s="3"/>
      <c r="O186" s="3">
        <v>0</v>
      </c>
      <c r="P186" s="3"/>
      <c r="Q186" s="3">
        <v>0</v>
      </c>
      <c r="R186" s="3"/>
      <c r="S186" s="3">
        <v>0</v>
      </c>
      <c r="T186" s="3"/>
      <c r="U186" s="3">
        <v>0</v>
      </c>
      <c r="V186" s="3"/>
      <c r="W186" s="3">
        <v>0</v>
      </c>
      <c r="X186" s="3"/>
      <c r="Y186" s="3">
        <v>0</v>
      </c>
      <c r="Z186" s="3"/>
      <c r="AA186" s="3">
        <v>0</v>
      </c>
      <c r="AC186" s="9">
        <f t="shared" si="3"/>
        <v>0</v>
      </c>
    </row>
    <row r="187" spans="1:29" s="9" customFormat="1" ht="12" hidden="1">
      <c r="A187" s="9" t="s">
        <v>256</v>
      </c>
      <c r="C187" s="9" t="s">
        <v>63</v>
      </c>
      <c r="E187" s="3">
        <v>0</v>
      </c>
      <c r="F187" s="3"/>
      <c r="G187" s="3">
        <v>0</v>
      </c>
      <c r="H187" s="3"/>
      <c r="I187" s="3">
        <v>0</v>
      </c>
      <c r="J187" s="3"/>
      <c r="K187" s="3">
        <v>0</v>
      </c>
      <c r="L187" s="3"/>
      <c r="M187" s="3">
        <v>0</v>
      </c>
      <c r="N187" s="3"/>
      <c r="O187" s="3">
        <v>0</v>
      </c>
      <c r="P187" s="3"/>
      <c r="Q187" s="3">
        <v>0</v>
      </c>
      <c r="R187" s="3"/>
      <c r="S187" s="3">
        <v>0</v>
      </c>
      <c r="T187" s="3"/>
      <c r="U187" s="3">
        <v>0</v>
      </c>
      <c r="V187" s="3"/>
      <c r="W187" s="3">
        <v>0</v>
      </c>
      <c r="X187" s="3"/>
      <c r="Y187" s="3">
        <v>0</v>
      </c>
      <c r="Z187" s="3"/>
      <c r="AA187" s="3">
        <v>0</v>
      </c>
      <c r="AC187" s="9">
        <f t="shared" si="3"/>
        <v>0</v>
      </c>
    </row>
    <row r="188" spans="1:29" s="9" customFormat="1" ht="12">
      <c r="A188" s="9" t="s">
        <v>188</v>
      </c>
      <c r="C188" s="9" t="s">
        <v>48</v>
      </c>
      <c r="E188" s="3">
        <v>697743</v>
      </c>
      <c r="F188" s="3"/>
      <c r="G188" s="3">
        <v>0</v>
      </c>
      <c r="H188" s="3"/>
      <c r="I188" s="3">
        <v>30000</v>
      </c>
      <c r="J188" s="3"/>
      <c r="K188" s="3">
        <v>13941</v>
      </c>
      <c r="L188" s="3"/>
      <c r="M188" s="3">
        <v>0</v>
      </c>
      <c r="N188" s="3"/>
      <c r="O188" s="3">
        <f>8103+4813</f>
        <v>12916</v>
      </c>
      <c r="P188" s="3"/>
      <c r="Q188" s="3">
        <v>29718</v>
      </c>
      <c r="R188" s="3"/>
      <c r="S188" s="3">
        <f>159+20155</f>
        <v>20314</v>
      </c>
      <c r="T188" s="3"/>
      <c r="U188" s="3">
        <v>0</v>
      </c>
      <c r="V188" s="3"/>
      <c r="W188" s="3">
        <v>0</v>
      </c>
      <c r="X188" s="3"/>
      <c r="Y188" s="3">
        <v>0</v>
      </c>
      <c r="Z188" s="3"/>
      <c r="AA188" s="3">
        <v>0</v>
      </c>
      <c r="AC188" s="9">
        <f t="shared" si="3"/>
        <v>804632</v>
      </c>
    </row>
    <row r="189" spans="1:29" s="9" customFormat="1" ht="12" hidden="1">
      <c r="A189" s="9" t="s">
        <v>259</v>
      </c>
      <c r="C189" s="9" t="s">
        <v>258</v>
      </c>
      <c r="E189" s="3">
        <v>0</v>
      </c>
      <c r="F189" s="3"/>
      <c r="G189" s="3">
        <v>0</v>
      </c>
      <c r="H189" s="3"/>
      <c r="I189" s="3">
        <v>0</v>
      </c>
      <c r="J189" s="3"/>
      <c r="K189" s="3">
        <v>0</v>
      </c>
      <c r="L189" s="3"/>
      <c r="M189" s="3">
        <v>0</v>
      </c>
      <c r="N189" s="3"/>
      <c r="O189" s="3">
        <v>0</v>
      </c>
      <c r="P189" s="3"/>
      <c r="Q189" s="3">
        <v>0</v>
      </c>
      <c r="R189" s="3"/>
      <c r="S189" s="3">
        <v>0</v>
      </c>
      <c r="T189" s="3"/>
      <c r="U189" s="3">
        <v>0</v>
      </c>
      <c r="V189" s="3"/>
      <c r="W189" s="3">
        <v>0</v>
      </c>
      <c r="X189" s="3"/>
      <c r="Y189" s="3">
        <v>0</v>
      </c>
      <c r="Z189" s="3"/>
      <c r="AA189" s="3">
        <v>0</v>
      </c>
      <c r="AC189" s="9">
        <f t="shared" si="3"/>
        <v>0</v>
      </c>
    </row>
    <row r="190" spans="1:29" s="9" customFormat="1" ht="12" hidden="1">
      <c r="A190" s="9" t="s">
        <v>260</v>
      </c>
      <c r="C190" s="9" t="s">
        <v>68</v>
      </c>
      <c r="E190" s="3">
        <v>0</v>
      </c>
      <c r="F190" s="3"/>
      <c r="G190" s="3">
        <v>0</v>
      </c>
      <c r="H190" s="3"/>
      <c r="I190" s="3">
        <v>0</v>
      </c>
      <c r="J190" s="3"/>
      <c r="K190" s="3">
        <v>0</v>
      </c>
      <c r="L190" s="3"/>
      <c r="M190" s="3">
        <v>0</v>
      </c>
      <c r="N190" s="3"/>
      <c r="O190" s="3">
        <v>0</v>
      </c>
      <c r="P190" s="3"/>
      <c r="Q190" s="3">
        <v>0</v>
      </c>
      <c r="R190" s="3"/>
      <c r="S190" s="3">
        <v>0</v>
      </c>
      <c r="T190" s="3"/>
      <c r="U190" s="3">
        <v>0</v>
      </c>
      <c r="V190" s="3"/>
      <c r="W190" s="3">
        <v>0</v>
      </c>
      <c r="X190" s="3"/>
      <c r="Y190" s="3">
        <v>0</v>
      </c>
      <c r="Z190" s="3"/>
      <c r="AA190" s="3">
        <v>0</v>
      </c>
      <c r="AC190" s="9">
        <f t="shared" si="3"/>
        <v>0</v>
      </c>
    </row>
    <row r="191" spans="1:29" s="9" customFormat="1" ht="12" hidden="1">
      <c r="A191" s="9" t="s">
        <v>261</v>
      </c>
      <c r="C191" s="9" t="s">
        <v>23</v>
      </c>
      <c r="E191" s="3">
        <v>0</v>
      </c>
      <c r="F191" s="3"/>
      <c r="G191" s="3">
        <v>0</v>
      </c>
      <c r="H191" s="3"/>
      <c r="I191" s="3">
        <v>0</v>
      </c>
      <c r="J191" s="3"/>
      <c r="K191" s="3">
        <v>0</v>
      </c>
      <c r="L191" s="3"/>
      <c r="M191" s="3">
        <v>0</v>
      </c>
      <c r="N191" s="3"/>
      <c r="O191" s="3">
        <v>0</v>
      </c>
      <c r="P191" s="3"/>
      <c r="Q191" s="3">
        <v>0</v>
      </c>
      <c r="R191" s="3"/>
      <c r="S191" s="3">
        <v>0</v>
      </c>
      <c r="T191" s="3"/>
      <c r="U191" s="3">
        <v>0</v>
      </c>
      <c r="V191" s="3"/>
      <c r="W191" s="3">
        <v>0</v>
      </c>
      <c r="X191" s="3"/>
      <c r="Y191" s="3">
        <v>0</v>
      </c>
      <c r="Z191" s="3"/>
      <c r="AA191" s="3">
        <v>0</v>
      </c>
      <c r="AC191" s="9">
        <f t="shared" si="3"/>
        <v>0</v>
      </c>
    </row>
    <row r="192" spans="1:29" s="9" customFormat="1" ht="12" hidden="1">
      <c r="A192" s="9" t="s">
        <v>262</v>
      </c>
      <c r="C192" s="9" t="s">
        <v>69</v>
      </c>
      <c r="E192" s="3">
        <v>0</v>
      </c>
      <c r="F192" s="3"/>
      <c r="G192" s="3">
        <v>0</v>
      </c>
      <c r="H192" s="3"/>
      <c r="I192" s="3">
        <v>0</v>
      </c>
      <c r="J192" s="3"/>
      <c r="K192" s="3">
        <v>0</v>
      </c>
      <c r="L192" s="3"/>
      <c r="M192" s="3">
        <v>0</v>
      </c>
      <c r="N192" s="3"/>
      <c r="O192" s="3">
        <v>0</v>
      </c>
      <c r="P192" s="3"/>
      <c r="Q192" s="3">
        <v>0</v>
      </c>
      <c r="R192" s="3"/>
      <c r="S192" s="3">
        <v>0</v>
      </c>
      <c r="T192" s="3"/>
      <c r="U192" s="3">
        <v>0</v>
      </c>
      <c r="V192" s="3"/>
      <c r="W192" s="3">
        <v>0</v>
      </c>
      <c r="X192" s="3"/>
      <c r="Y192" s="3">
        <v>0</v>
      </c>
      <c r="Z192" s="3"/>
      <c r="AA192" s="3">
        <v>0</v>
      </c>
      <c r="AC192" s="9">
        <f t="shared" si="3"/>
        <v>0</v>
      </c>
    </row>
    <row r="193" spans="1:62" s="9" customFormat="1" ht="12">
      <c r="A193" s="38" t="s">
        <v>189</v>
      </c>
      <c r="B193" s="38"/>
      <c r="C193" s="38" t="s">
        <v>190</v>
      </c>
      <c r="D193" s="38"/>
      <c r="E193" s="38">
        <v>0</v>
      </c>
      <c r="F193" s="38"/>
      <c r="G193" s="38">
        <v>1627942.96</v>
      </c>
      <c r="H193" s="38"/>
      <c r="I193" s="38">
        <v>3379.04</v>
      </c>
      <c r="J193" s="38"/>
      <c r="K193" s="38">
        <v>38167.14</v>
      </c>
      <c r="L193" s="38"/>
      <c r="M193" s="38">
        <v>0</v>
      </c>
      <c r="N193" s="38"/>
      <c r="O193" s="38">
        <v>44.95</v>
      </c>
      <c r="P193" s="38"/>
      <c r="Q193" s="38">
        <v>88922.85</v>
      </c>
      <c r="R193" s="38"/>
      <c r="S193" s="38">
        <v>2129.98</v>
      </c>
      <c r="T193" s="38"/>
      <c r="U193" s="38">
        <v>0</v>
      </c>
      <c r="V193" s="38"/>
      <c r="W193" s="38">
        <v>0</v>
      </c>
      <c r="X193" s="38"/>
      <c r="Y193" s="38">
        <v>0</v>
      </c>
      <c r="Z193" s="38"/>
      <c r="AA193" s="38">
        <v>0</v>
      </c>
      <c r="AB193" s="38"/>
      <c r="AC193" s="9">
        <f t="shared" si="3"/>
        <v>1760586.92</v>
      </c>
      <c r="AD193" s="39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</row>
    <row r="194" spans="1:29" s="9" customFormat="1" ht="12" hidden="1">
      <c r="A194" s="9" t="s">
        <v>264</v>
      </c>
      <c r="C194" s="9" t="s">
        <v>16</v>
      </c>
      <c r="E194" s="3">
        <v>0</v>
      </c>
      <c r="F194" s="3"/>
      <c r="G194" s="3">
        <v>0</v>
      </c>
      <c r="H194" s="3"/>
      <c r="I194" s="3">
        <v>0</v>
      </c>
      <c r="J194" s="3"/>
      <c r="K194" s="3">
        <v>0</v>
      </c>
      <c r="L194" s="3"/>
      <c r="M194" s="3">
        <v>0</v>
      </c>
      <c r="N194" s="3"/>
      <c r="O194" s="3">
        <v>0</v>
      </c>
      <c r="P194" s="3"/>
      <c r="Q194" s="3">
        <v>0</v>
      </c>
      <c r="R194" s="3"/>
      <c r="S194" s="3">
        <v>0</v>
      </c>
      <c r="T194" s="3"/>
      <c r="U194" s="3">
        <v>0</v>
      </c>
      <c r="V194" s="3"/>
      <c r="W194" s="3">
        <v>0</v>
      </c>
      <c r="X194" s="3"/>
      <c r="Y194" s="3">
        <v>0</v>
      </c>
      <c r="Z194" s="3"/>
      <c r="AA194" s="3">
        <v>0</v>
      </c>
      <c r="AC194" s="9">
        <f t="shared" si="3"/>
        <v>0</v>
      </c>
    </row>
    <row r="195" spans="1:62" s="9" customFormat="1" ht="12">
      <c r="A195" s="38" t="s">
        <v>191</v>
      </c>
      <c r="B195" s="38"/>
      <c r="C195" s="38" t="s">
        <v>46</v>
      </c>
      <c r="D195" s="38"/>
      <c r="E195" s="38">
        <v>108690.87</v>
      </c>
      <c r="F195" s="38"/>
      <c r="G195" s="38">
        <v>268378.86</v>
      </c>
      <c r="H195" s="38"/>
      <c r="I195" s="38">
        <v>11599.55</v>
      </c>
      <c r="J195" s="38"/>
      <c r="K195" s="38">
        <v>6760.44</v>
      </c>
      <c r="L195" s="38"/>
      <c r="M195" s="38">
        <v>10</v>
      </c>
      <c r="N195" s="38"/>
      <c r="O195" s="38">
        <v>7732.85</v>
      </c>
      <c r="P195" s="38"/>
      <c r="Q195" s="38">
        <v>1160.31</v>
      </c>
      <c r="R195" s="38"/>
      <c r="S195" s="38">
        <v>86.7</v>
      </c>
      <c r="T195" s="38"/>
      <c r="U195" s="38">
        <v>0</v>
      </c>
      <c r="V195" s="38"/>
      <c r="W195" s="38">
        <v>0</v>
      </c>
      <c r="X195" s="38"/>
      <c r="Y195" s="38">
        <v>0</v>
      </c>
      <c r="Z195" s="38"/>
      <c r="AA195" s="38">
        <v>0</v>
      </c>
      <c r="AB195" s="38"/>
      <c r="AC195" s="9">
        <f t="shared" si="3"/>
        <v>404419.57999999996</v>
      </c>
      <c r="AD195" s="43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</row>
    <row r="196" spans="1:29" s="9" customFormat="1" ht="12" hidden="1">
      <c r="A196" s="9" t="s">
        <v>360</v>
      </c>
      <c r="C196" s="9" t="s">
        <v>70</v>
      </c>
      <c r="E196" s="3">
        <v>0</v>
      </c>
      <c r="F196" s="3"/>
      <c r="G196" s="3">
        <v>0</v>
      </c>
      <c r="H196" s="3"/>
      <c r="I196" s="3">
        <v>0</v>
      </c>
      <c r="J196" s="3"/>
      <c r="K196" s="3">
        <v>0</v>
      </c>
      <c r="L196" s="3"/>
      <c r="M196" s="3">
        <v>0</v>
      </c>
      <c r="N196" s="3"/>
      <c r="O196" s="3">
        <v>0</v>
      </c>
      <c r="P196" s="3"/>
      <c r="Q196" s="3">
        <v>0</v>
      </c>
      <c r="R196" s="3"/>
      <c r="S196" s="3">
        <v>0</v>
      </c>
      <c r="T196" s="3"/>
      <c r="U196" s="3">
        <v>0</v>
      </c>
      <c r="V196" s="3"/>
      <c r="W196" s="3">
        <v>0</v>
      </c>
      <c r="X196" s="3"/>
      <c r="Y196" s="3">
        <v>0</v>
      </c>
      <c r="Z196" s="3"/>
      <c r="AA196" s="3">
        <v>0</v>
      </c>
      <c r="AC196" s="9">
        <f t="shared" si="3"/>
        <v>0</v>
      </c>
    </row>
    <row r="197" spans="1:29" s="9" customFormat="1" ht="12" hidden="1">
      <c r="A197" s="9" t="s">
        <v>268</v>
      </c>
      <c r="C197" s="9" t="s">
        <v>13</v>
      </c>
      <c r="E197" s="3">
        <v>0</v>
      </c>
      <c r="F197" s="3"/>
      <c r="G197" s="3">
        <v>0</v>
      </c>
      <c r="H197" s="3"/>
      <c r="I197" s="3">
        <v>0</v>
      </c>
      <c r="J197" s="3"/>
      <c r="K197" s="3">
        <v>0</v>
      </c>
      <c r="L197" s="3"/>
      <c r="M197" s="3">
        <v>0</v>
      </c>
      <c r="N197" s="3"/>
      <c r="O197" s="3">
        <v>0</v>
      </c>
      <c r="P197" s="3"/>
      <c r="Q197" s="3">
        <v>0</v>
      </c>
      <c r="R197" s="3"/>
      <c r="S197" s="3">
        <v>0</v>
      </c>
      <c r="T197" s="3"/>
      <c r="U197" s="3">
        <v>0</v>
      </c>
      <c r="V197" s="3"/>
      <c r="W197" s="3">
        <v>0</v>
      </c>
      <c r="X197" s="3"/>
      <c r="Y197" s="3">
        <v>0</v>
      </c>
      <c r="Z197" s="3"/>
      <c r="AA197" s="3">
        <v>0</v>
      </c>
      <c r="AC197" s="9">
        <f t="shared" si="3"/>
        <v>0</v>
      </c>
    </row>
    <row r="198" spans="1:62" s="9" customFormat="1" ht="12">
      <c r="A198" s="38" t="s">
        <v>192</v>
      </c>
      <c r="B198" s="38"/>
      <c r="C198" s="38" t="s">
        <v>59</v>
      </c>
      <c r="D198" s="38"/>
      <c r="E198" s="38">
        <v>0</v>
      </c>
      <c r="F198" s="38"/>
      <c r="G198" s="38">
        <v>555171.44</v>
      </c>
      <c r="H198" s="38"/>
      <c r="I198" s="38">
        <v>0</v>
      </c>
      <c r="J198" s="38"/>
      <c r="K198" s="38">
        <v>17024.99</v>
      </c>
      <c r="L198" s="38"/>
      <c r="M198" s="38">
        <v>0</v>
      </c>
      <c r="N198" s="38"/>
      <c r="O198" s="38">
        <v>1715.02</v>
      </c>
      <c r="P198" s="38"/>
      <c r="Q198" s="38">
        <v>8089.67</v>
      </c>
      <c r="R198" s="38"/>
      <c r="S198" s="38">
        <v>231.57</v>
      </c>
      <c r="T198" s="38"/>
      <c r="U198" s="38">
        <v>0</v>
      </c>
      <c r="V198" s="38"/>
      <c r="W198" s="38">
        <v>0</v>
      </c>
      <c r="X198" s="38"/>
      <c r="Y198" s="38">
        <v>0</v>
      </c>
      <c r="Z198" s="38"/>
      <c r="AA198" s="38">
        <v>0</v>
      </c>
      <c r="AB198" s="38"/>
      <c r="AC198" s="9">
        <f t="shared" si="3"/>
        <v>582232.69</v>
      </c>
      <c r="AD198" s="39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</row>
    <row r="199" spans="1:62" s="9" customFormat="1" ht="12">
      <c r="A199" s="38" t="s">
        <v>193</v>
      </c>
      <c r="B199" s="38"/>
      <c r="C199" s="38" t="s">
        <v>16</v>
      </c>
      <c r="D199" s="38"/>
      <c r="E199" s="38">
        <v>0</v>
      </c>
      <c r="F199" s="38"/>
      <c r="G199" s="38">
        <v>514786.59</v>
      </c>
      <c r="H199" s="38"/>
      <c r="I199" s="38">
        <v>0</v>
      </c>
      <c r="J199" s="38"/>
      <c r="K199" s="38">
        <v>14582.62</v>
      </c>
      <c r="L199" s="38"/>
      <c r="M199" s="38">
        <v>0</v>
      </c>
      <c r="N199" s="38"/>
      <c r="O199" s="38">
        <v>22354.35</v>
      </c>
      <c r="P199" s="38"/>
      <c r="Q199" s="38">
        <v>8490.16</v>
      </c>
      <c r="R199" s="38"/>
      <c r="S199" s="38">
        <v>5353.15</v>
      </c>
      <c r="T199" s="38"/>
      <c r="U199" s="38">
        <v>0</v>
      </c>
      <c r="V199" s="38"/>
      <c r="W199" s="38">
        <v>0</v>
      </c>
      <c r="X199" s="38"/>
      <c r="Y199" s="38">
        <v>0</v>
      </c>
      <c r="Z199" s="38"/>
      <c r="AA199" s="38">
        <v>0</v>
      </c>
      <c r="AB199" s="38"/>
      <c r="AC199" s="9">
        <f t="shared" si="3"/>
        <v>565566.8700000001</v>
      </c>
      <c r="AD199" s="39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</row>
    <row r="200" spans="1:29" s="9" customFormat="1" ht="12">
      <c r="A200" s="44" t="s">
        <v>497</v>
      </c>
      <c r="B200" s="16"/>
      <c r="C200" s="16" t="s">
        <v>20</v>
      </c>
      <c r="E200" s="3">
        <v>2275756</v>
      </c>
      <c r="F200" s="3"/>
      <c r="G200" s="3">
        <v>0</v>
      </c>
      <c r="H200" s="3"/>
      <c r="I200" s="3">
        <v>2377235</v>
      </c>
      <c r="J200" s="3"/>
      <c r="K200" s="3">
        <v>77883</v>
      </c>
      <c r="L200" s="3"/>
      <c r="M200" s="3">
        <v>0</v>
      </c>
      <c r="N200" s="3"/>
      <c r="O200" s="3">
        <v>38892</v>
      </c>
      <c r="P200" s="3"/>
      <c r="Q200" s="3">
        <v>253521</v>
      </c>
      <c r="R200" s="3"/>
      <c r="S200" s="3">
        <v>12373</v>
      </c>
      <c r="T200" s="3"/>
      <c r="U200" s="3">
        <v>0</v>
      </c>
      <c r="V200" s="3"/>
      <c r="W200" s="3">
        <v>0</v>
      </c>
      <c r="X200" s="3"/>
      <c r="Y200" s="3">
        <v>0</v>
      </c>
      <c r="Z200" s="3"/>
      <c r="AA200" s="3">
        <v>0</v>
      </c>
      <c r="AC200" s="9">
        <f t="shared" si="3"/>
        <v>5035660</v>
      </c>
    </row>
    <row r="201" spans="1:29" s="9" customFormat="1" ht="12">
      <c r="A201" s="9" t="s">
        <v>10</v>
      </c>
      <c r="C201" s="9" t="s">
        <v>11</v>
      </c>
      <c r="E201" s="3">
        <v>0</v>
      </c>
      <c r="F201" s="3"/>
      <c r="G201" s="3">
        <v>6082500</v>
      </c>
      <c r="H201" s="3"/>
      <c r="I201" s="3">
        <v>5064</v>
      </c>
      <c r="J201" s="3"/>
      <c r="K201" s="3">
        <v>215200</v>
      </c>
      <c r="L201" s="3"/>
      <c r="M201" s="3">
        <v>0</v>
      </c>
      <c r="N201" s="3"/>
      <c r="O201" s="3">
        <v>0</v>
      </c>
      <c r="P201" s="3"/>
      <c r="Q201" s="3">
        <v>141753</v>
      </c>
      <c r="R201" s="3"/>
      <c r="S201" s="3">
        <v>5748</v>
      </c>
      <c r="T201" s="3"/>
      <c r="U201" s="3">
        <v>0</v>
      </c>
      <c r="V201" s="3"/>
      <c r="W201" s="3">
        <v>0</v>
      </c>
      <c r="X201" s="3"/>
      <c r="Y201" s="3">
        <v>0</v>
      </c>
      <c r="Z201" s="3"/>
      <c r="AA201" s="3">
        <v>0</v>
      </c>
      <c r="AC201" s="9">
        <f t="shared" si="3"/>
        <v>6450265</v>
      </c>
    </row>
    <row r="202" spans="1:62" s="9" customFormat="1" ht="12">
      <c r="A202" s="38" t="s">
        <v>194</v>
      </c>
      <c r="B202" s="38"/>
      <c r="C202" s="38" t="s">
        <v>57</v>
      </c>
      <c r="D202" s="38"/>
      <c r="E202" s="38">
        <v>0</v>
      </c>
      <c r="F202" s="38"/>
      <c r="G202" s="38">
        <v>843888.98</v>
      </c>
      <c r="H202" s="38"/>
      <c r="I202" s="38">
        <v>0</v>
      </c>
      <c r="J202" s="38"/>
      <c r="K202" s="38">
        <v>26275.58</v>
      </c>
      <c r="L202" s="38"/>
      <c r="M202" s="38">
        <v>0</v>
      </c>
      <c r="N202" s="38"/>
      <c r="O202" s="38">
        <v>12986.89</v>
      </c>
      <c r="P202" s="38"/>
      <c r="Q202" s="38">
        <v>57766.25</v>
      </c>
      <c r="R202" s="38"/>
      <c r="S202" s="38">
        <v>559.15</v>
      </c>
      <c r="T202" s="38"/>
      <c r="U202" s="38">
        <v>0</v>
      </c>
      <c r="V202" s="38"/>
      <c r="W202" s="38">
        <v>0</v>
      </c>
      <c r="X202" s="38"/>
      <c r="Y202" s="38">
        <v>2643.72</v>
      </c>
      <c r="Z202" s="38"/>
      <c r="AA202" s="38">
        <v>0</v>
      </c>
      <c r="AB202" s="38"/>
      <c r="AC202" s="9">
        <f t="shared" si="3"/>
        <v>944120.57</v>
      </c>
      <c r="AD202" s="39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</row>
    <row r="203" spans="1:29" s="9" customFormat="1" ht="12" hidden="1">
      <c r="A203" s="9" t="s">
        <v>271</v>
      </c>
      <c r="C203" s="9" t="s">
        <v>49</v>
      </c>
      <c r="E203" s="3">
        <v>0</v>
      </c>
      <c r="F203" s="3"/>
      <c r="G203" s="3">
        <v>0</v>
      </c>
      <c r="H203" s="3"/>
      <c r="I203" s="3">
        <v>0</v>
      </c>
      <c r="J203" s="3"/>
      <c r="K203" s="3">
        <v>0</v>
      </c>
      <c r="L203" s="3"/>
      <c r="M203" s="3">
        <v>0</v>
      </c>
      <c r="N203" s="3"/>
      <c r="O203" s="3">
        <v>0</v>
      </c>
      <c r="P203" s="3"/>
      <c r="Q203" s="3">
        <v>0</v>
      </c>
      <c r="R203" s="3"/>
      <c r="S203" s="3">
        <v>0</v>
      </c>
      <c r="T203" s="3"/>
      <c r="U203" s="3">
        <v>0</v>
      </c>
      <c r="V203" s="3"/>
      <c r="W203" s="3">
        <v>0</v>
      </c>
      <c r="X203" s="3"/>
      <c r="Y203" s="3">
        <v>0</v>
      </c>
      <c r="Z203" s="3"/>
      <c r="AA203" s="3">
        <v>0</v>
      </c>
      <c r="AC203" s="9">
        <f t="shared" si="3"/>
        <v>0</v>
      </c>
    </row>
    <row r="204" spans="1:29" s="9" customFormat="1" ht="12" hidden="1">
      <c r="A204" s="9" t="s">
        <v>272</v>
      </c>
      <c r="C204" s="9" t="s">
        <v>190</v>
      </c>
      <c r="E204" s="3">
        <v>0</v>
      </c>
      <c r="F204" s="3"/>
      <c r="G204" s="3">
        <v>0</v>
      </c>
      <c r="H204" s="3"/>
      <c r="I204" s="3">
        <v>0</v>
      </c>
      <c r="J204" s="3"/>
      <c r="K204" s="3">
        <v>0</v>
      </c>
      <c r="L204" s="3"/>
      <c r="M204" s="3">
        <v>0</v>
      </c>
      <c r="N204" s="3"/>
      <c r="O204" s="3">
        <v>0</v>
      </c>
      <c r="P204" s="3"/>
      <c r="Q204" s="3">
        <v>0</v>
      </c>
      <c r="R204" s="3"/>
      <c r="S204" s="3">
        <v>0</v>
      </c>
      <c r="T204" s="3"/>
      <c r="U204" s="3">
        <v>0</v>
      </c>
      <c r="V204" s="3"/>
      <c r="W204" s="3">
        <v>0</v>
      </c>
      <c r="X204" s="3"/>
      <c r="Y204" s="3">
        <v>0</v>
      </c>
      <c r="Z204" s="3"/>
      <c r="AA204" s="3">
        <v>0</v>
      </c>
      <c r="AC204" s="9">
        <f t="shared" si="3"/>
        <v>0</v>
      </c>
    </row>
    <row r="205" spans="1:62" s="9" customFormat="1" ht="12">
      <c r="A205" s="38" t="s">
        <v>195</v>
      </c>
      <c r="B205" s="38"/>
      <c r="C205" s="38" t="s">
        <v>54</v>
      </c>
      <c r="D205" s="38"/>
      <c r="E205" s="38">
        <v>0</v>
      </c>
      <c r="F205" s="38"/>
      <c r="G205" s="38">
        <v>333823.33</v>
      </c>
      <c r="H205" s="38"/>
      <c r="I205" s="38">
        <v>0</v>
      </c>
      <c r="J205" s="38"/>
      <c r="K205" s="38">
        <v>6925.6</v>
      </c>
      <c r="L205" s="38"/>
      <c r="M205" s="38">
        <v>0</v>
      </c>
      <c r="N205" s="38"/>
      <c r="O205" s="38">
        <v>0</v>
      </c>
      <c r="P205" s="38"/>
      <c r="Q205" s="38">
        <v>103082.7</v>
      </c>
      <c r="R205" s="38"/>
      <c r="S205" s="38">
        <v>25916.51</v>
      </c>
      <c r="T205" s="38"/>
      <c r="U205" s="38">
        <v>0</v>
      </c>
      <c r="V205" s="38"/>
      <c r="W205" s="38">
        <v>0</v>
      </c>
      <c r="X205" s="38"/>
      <c r="Y205" s="38">
        <v>0</v>
      </c>
      <c r="Z205" s="38"/>
      <c r="AA205" s="38">
        <v>0</v>
      </c>
      <c r="AB205" s="38"/>
      <c r="AC205" s="9">
        <f t="shared" si="3"/>
        <v>469748.14</v>
      </c>
      <c r="AD205" s="39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</row>
    <row r="206" spans="1:62" s="9" customFormat="1" ht="12">
      <c r="A206" s="38" t="s">
        <v>196</v>
      </c>
      <c r="B206" s="38"/>
      <c r="C206" s="38" t="s">
        <v>54</v>
      </c>
      <c r="D206" s="38"/>
      <c r="E206" s="38">
        <v>0</v>
      </c>
      <c r="F206" s="38"/>
      <c r="G206" s="38">
        <v>584489.76</v>
      </c>
      <c r="H206" s="38"/>
      <c r="I206" s="38">
        <v>0</v>
      </c>
      <c r="J206" s="38"/>
      <c r="K206" s="38">
        <v>8035.21</v>
      </c>
      <c r="L206" s="38"/>
      <c r="M206" s="38">
        <v>0</v>
      </c>
      <c r="N206" s="38"/>
      <c r="O206" s="38">
        <v>8921.41</v>
      </c>
      <c r="P206" s="38"/>
      <c r="Q206" s="38">
        <v>95251.29</v>
      </c>
      <c r="R206" s="38"/>
      <c r="S206" s="38">
        <v>25479.91</v>
      </c>
      <c r="T206" s="38"/>
      <c r="U206" s="38">
        <v>0</v>
      </c>
      <c r="V206" s="38"/>
      <c r="W206" s="38">
        <v>0</v>
      </c>
      <c r="X206" s="38"/>
      <c r="Y206" s="38">
        <v>0</v>
      </c>
      <c r="Z206" s="38"/>
      <c r="AA206" s="38">
        <v>0</v>
      </c>
      <c r="AB206" s="38"/>
      <c r="AC206" s="9">
        <f t="shared" si="3"/>
        <v>722177.5800000001</v>
      </c>
      <c r="AD206" s="39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</row>
    <row r="207" spans="1:29" s="9" customFormat="1" ht="12" hidden="1">
      <c r="A207" s="9" t="s">
        <v>362</v>
      </c>
      <c r="C207" s="9" t="s">
        <v>64</v>
      </c>
      <c r="E207" s="3">
        <v>0</v>
      </c>
      <c r="F207" s="3"/>
      <c r="G207" s="3">
        <v>0</v>
      </c>
      <c r="H207" s="3"/>
      <c r="I207" s="3">
        <v>0</v>
      </c>
      <c r="J207" s="3"/>
      <c r="K207" s="3">
        <v>0</v>
      </c>
      <c r="L207" s="3"/>
      <c r="M207" s="3">
        <v>0</v>
      </c>
      <c r="N207" s="3"/>
      <c r="O207" s="3">
        <v>0</v>
      </c>
      <c r="P207" s="3"/>
      <c r="Q207" s="3">
        <v>0</v>
      </c>
      <c r="R207" s="3"/>
      <c r="S207" s="3">
        <v>0</v>
      </c>
      <c r="T207" s="3"/>
      <c r="U207" s="3">
        <v>0</v>
      </c>
      <c r="V207" s="3"/>
      <c r="W207" s="3">
        <v>0</v>
      </c>
      <c r="X207" s="3"/>
      <c r="Y207" s="3">
        <v>0</v>
      </c>
      <c r="Z207" s="3"/>
      <c r="AA207" s="3">
        <v>0</v>
      </c>
      <c r="AC207" s="9">
        <f t="shared" si="3"/>
        <v>0</v>
      </c>
    </row>
    <row r="208" spans="1:29" s="9" customFormat="1" ht="12" hidden="1">
      <c r="A208" s="9" t="s">
        <v>276</v>
      </c>
      <c r="C208" s="9" t="s">
        <v>182</v>
      </c>
      <c r="E208" s="3">
        <v>0</v>
      </c>
      <c r="F208" s="3"/>
      <c r="G208" s="3">
        <v>0</v>
      </c>
      <c r="H208" s="3"/>
      <c r="I208" s="3">
        <v>0</v>
      </c>
      <c r="J208" s="3"/>
      <c r="K208" s="3">
        <v>0</v>
      </c>
      <c r="L208" s="3"/>
      <c r="M208" s="3">
        <v>0</v>
      </c>
      <c r="N208" s="3"/>
      <c r="O208" s="3">
        <v>0</v>
      </c>
      <c r="P208" s="3"/>
      <c r="Q208" s="3">
        <v>0</v>
      </c>
      <c r="R208" s="3"/>
      <c r="S208" s="3">
        <v>0</v>
      </c>
      <c r="T208" s="3"/>
      <c r="U208" s="3">
        <v>0</v>
      </c>
      <c r="V208" s="3"/>
      <c r="W208" s="3">
        <v>0</v>
      </c>
      <c r="X208" s="3"/>
      <c r="Y208" s="3">
        <v>0</v>
      </c>
      <c r="Z208" s="3"/>
      <c r="AA208" s="3">
        <v>0</v>
      </c>
      <c r="AC208" s="9">
        <f t="shared" si="3"/>
        <v>0</v>
      </c>
    </row>
    <row r="209" spans="1:29" s="9" customFormat="1" ht="12" hidden="1">
      <c r="A209" s="9" t="s">
        <v>277</v>
      </c>
      <c r="C209" s="9" t="s">
        <v>46</v>
      </c>
      <c r="E209" s="3">
        <v>0</v>
      </c>
      <c r="F209" s="3"/>
      <c r="G209" s="3">
        <v>0</v>
      </c>
      <c r="H209" s="3"/>
      <c r="I209" s="3">
        <v>0</v>
      </c>
      <c r="J209" s="3"/>
      <c r="K209" s="3">
        <v>0</v>
      </c>
      <c r="L209" s="3"/>
      <c r="M209" s="3">
        <v>0</v>
      </c>
      <c r="N209" s="3"/>
      <c r="O209" s="3">
        <v>0</v>
      </c>
      <c r="P209" s="3"/>
      <c r="Q209" s="3">
        <v>0</v>
      </c>
      <c r="R209" s="3"/>
      <c r="S209" s="3">
        <v>0</v>
      </c>
      <c r="T209" s="3"/>
      <c r="U209" s="3">
        <v>0</v>
      </c>
      <c r="V209" s="3"/>
      <c r="W209" s="3">
        <v>0</v>
      </c>
      <c r="X209" s="3"/>
      <c r="Y209" s="3">
        <v>0</v>
      </c>
      <c r="Z209" s="3"/>
      <c r="AA209" s="3">
        <v>0</v>
      </c>
      <c r="AC209" s="9">
        <f t="shared" si="3"/>
        <v>0</v>
      </c>
    </row>
    <row r="210" spans="1:29" s="9" customFormat="1" ht="12" hidden="1">
      <c r="A210" s="9" t="s">
        <v>278</v>
      </c>
      <c r="C210" s="9" t="s">
        <v>53</v>
      </c>
      <c r="E210" s="3">
        <v>0</v>
      </c>
      <c r="F210" s="3"/>
      <c r="G210" s="3">
        <v>0</v>
      </c>
      <c r="H210" s="3"/>
      <c r="I210" s="3">
        <v>0</v>
      </c>
      <c r="J210" s="3"/>
      <c r="K210" s="3">
        <v>0</v>
      </c>
      <c r="L210" s="3"/>
      <c r="M210" s="3">
        <v>0</v>
      </c>
      <c r="N210" s="3"/>
      <c r="O210" s="3">
        <v>0</v>
      </c>
      <c r="P210" s="3"/>
      <c r="Q210" s="3">
        <v>0</v>
      </c>
      <c r="R210" s="3"/>
      <c r="S210" s="3">
        <v>0</v>
      </c>
      <c r="T210" s="3"/>
      <c r="U210" s="3">
        <v>0</v>
      </c>
      <c r="V210" s="3"/>
      <c r="W210" s="3">
        <v>0</v>
      </c>
      <c r="X210" s="3"/>
      <c r="Y210" s="3">
        <v>0</v>
      </c>
      <c r="Z210" s="3"/>
      <c r="AA210" s="3">
        <v>0</v>
      </c>
      <c r="AC210" s="9">
        <f t="shared" si="3"/>
        <v>0</v>
      </c>
    </row>
    <row r="211" spans="1:62" s="9" customFormat="1" ht="12">
      <c r="A211" s="38" t="s">
        <v>197</v>
      </c>
      <c r="B211" s="38"/>
      <c r="C211" s="38" t="s">
        <v>63</v>
      </c>
      <c r="D211" s="38"/>
      <c r="E211" s="38">
        <v>0</v>
      </c>
      <c r="F211" s="38"/>
      <c r="G211" s="38">
        <v>174131.36</v>
      </c>
      <c r="H211" s="38"/>
      <c r="I211" s="38">
        <v>596.5</v>
      </c>
      <c r="J211" s="38"/>
      <c r="K211" s="38">
        <v>5734.96</v>
      </c>
      <c r="L211" s="38"/>
      <c r="M211" s="38">
        <v>1110.72</v>
      </c>
      <c r="N211" s="38"/>
      <c r="O211" s="38">
        <v>9968.69</v>
      </c>
      <c r="P211" s="38"/>
      <c r="Q211" s="38">
        <v>1250.43</v>
      </c>
      <c r="R211" s="38"/>
      <c r="S211" s="38">
        <v>0</v>
      </c>
      <c r="T211" s="38"/>
      <c r="U211" s="38">
        <v>0</v>
      </c>
      <c r="V211" s="38"/>
      <c r="W211" s="38">
        <v>0</v>
      </c>
      <c r="X211" s="38"/>
      <c r="Y211" s="38">
        <v>0</v>
      </c>
      <c r="Z211" s="38"/>
      <c r="AA211" s="38">
        <v>0</v>
      </c>
      <c r="AB211" s="38"/>
      <c r="AC211" s="9">
        <f t="shared" si="3"/>
        <v>192792.65999999997</v>
      </c>
      <c r="AD211" s="39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</row>
    <row r="212" spans="1:29" s="9" customFormat="1" ht="12">
      <c r="A212" s="9" t="s">
        <v>198</v>
      </c>
      <c r="C212" s="9" t="s">
        <v>104</v>
      </c>
      <c r="E212" s="3">
        <v>0</v>
      </c>
      <c r="F212" s="3"/>
      <c r="G212" s="3">
        <v>3686248</v>
      </c>
      <c r="H212" s="3"/>
      <c r="I212" s="3">
        <v>0</v>
      </c>
      <c r="J212" s="3"/>
      <c r="K212" s="3">
        <v>78032</v>
      </c>
      <c r="L212" s="3"/>
      <c r="M212" s="3">
        <v>5802</v>
      </c>
      <c r="N212" s="3"/>
      <c r="O212" s="3">
        <v>0</v>
      </c>
      <c r="P212" s="3"/>
      <c r="Q212" s="3">
        <v>142257</v>
      </c>
      <c r="R212" s="3"/>
      <c r="S212" s="3">
        <v>11416</v>
      </c>
      <c r="T212" s="3"/>
      <c r="U212" s="3">
        <v>0</v>
      </c>
      <c r="V212" s="3"/>
      <c r="W212" s="3">
        <v>0</v>
      </c>
      <c r="X212" s="3"/>
      <c r="Y212" s="3">
        <v>0</v>
      </c>
      <c r="Z212" s="3"/>
      <c r="AA212" s="3">
        <v>0</v>
      </c>
      <c r="AC212" s="9">
        <f t="shared" si="3"/>
        <v>3923755</v>
      </c>
    </row>
    <row r="213" spans="1:29" s="9" customFormat="1" ht="12">
      <c r="A213" s="9" t="s">
        <v>199</v>
      </c>
      <c r="C213" s="9" t="s">
        <v>93</v>
      </c>
      <c r="E213" s="3">
        <v>0</v>
      </c>
      <c r="F213" s="3"/>
      <c r="G213" s="3">
        <v>1486372</v>
      </c>
      <c r="H213" s="3"/>
      <c r="I213" s="3">
        <v>0</v>
      </c>
      <c r="J213" s="3"/>
      <c r="K213" s="3">
        <v>43892</v>
      </c>
      <c r="L213" s="3"/>
      <c r="M213" s="3">
        <v>0</v>
      </c>
      <c r="N213" s="3"/>
      <c r="O213" s="3">
        <v>1799</v>
      </c>
      <c r="P213" s="3"/>
      <c r="Q213" s="3">
        <v>40330</v>
      </c>
      <c r="R213" s="3"/>
      <c r="S213" s="3">
        <v>22241</v>
      </c>
      <c r="T213" s="3"/>
      <c r="U213" s="3">
        <v>0</v>
      </c>
      <c r="V213" s="3"/>
      <c r="W213" s="3">
        <v>0</v>
      </c>
      <c r="X213" s="3"/>
      <c r="Y213" s="3">
        <v>0</v>
      </c>
      <c r="Z213" s="3"/>
      <c r="AA213" s="3">
        <v>0</v>
      </c>
      <c r="AC213" s="9">
        <f t="shared" si="3"/>
        <v>1594634</v>
      </c>
    </row>
    <row r="214" spans="1:29" s="9" customFormat="1" ht="12" hidden="1">
      <c r="A214" s="9" t="s">
        <v>282</v>
      </c>
      <c r="C214" s="9" t="s">
        <v>72</v>
      </c>
      <c r="E214" s="3">
        <v>0</v>
      </c>
      <c r="F214" s="3"/>
      <c r="G214" s="3">
        <v>0</v>
      </c>
      <c r="H214" s="3"/>
      <c r="I214" s="3">
        <v>0</v>
      </c>
      <c r="J214" s="3"/>
      <c r="K214" s="3">
        <v>0</v>
      </c>
      <c r="L214" s="3"/>
      <c r="M214" s="3">
        <v>0</v>
      </c>
      <c r="N214" s="3"/>
      <c r="O214" s="3">
        <v>0</v>
      </c>
      <c r="P214" s="3"/>
      <c r="Q214" s="3">
        <v>0</v>
      </c>
      <c r="R214" s="3"/>
      <c r="S214" s="3">
        <v>0</v>
      </c>
      <c r="T214" s="3"/>
      <c r="U214" s="3">
        <v>0</v>
      </c>
      <c r="V214" s="3"/>
      <c r="W214" s="3">
        <v>0</v>
      </c>
      <c r="X214" s="3"/>
      <c r="Y214" s="3">
        <v>0</v>
      </c>
      <c r="Z214" s="3"/>
      <c r="AA214" s="3">
        <v>0</v>
      </c>
      <c r="AC214" s="9">
        <f t="shared" si="3"/>
        <v>0</v>
      </c>
    </row>
    <row r="215" spans="1:29" s="9" customFormat="1" ht="12" hidden="1">
      <c r="A215" s="9" t="s">
        <v>283</v>
      </c>
      <c r="C215" s="9" t="s">
        <v>65</v>
      </c>
      <c r="E215" s="3">
        <v>0</v>
      </c>
      <c r="F215" s="3"/>
      <c r="G215" s="3">
        <v>0</v>
      </c>
      <c r="H215" s="3"/>
      <c r="I215" s="3">
        <v>0</v>
      </c>
      <c r="J215" s="3"/>
      <c r="K215" s="3">
        <v>0</v>
      </c>
      <c r="L215" s="3"/>
      <c r="M215" s="3">
        <v>0</v>
      </c>
      <c r="N215" s="3"/>
      <c r="O215" s="3">
        <v>0</v>
      </c>
      <c r="P215" s="3"/>
      <c r="Q215" s="3">
        <v>0</v>
      </c>
      <c r="R215" s="3"/>
      <c r="S215" s="3">
        <v>0</v>
      </c>
      <c r="T215" s="3"/>
      <c r="U215" s="3">
        <v>0</v>
      </c>
      <c r="V215" s="3"/>
      <c r="W215" s="3">
        <v>0</v>
      </c>
      <c r="X215" s="3"/>
      <c r="Y215" s="3">
        <v>0</v>
      </c>
      <c r="Z215" s="3"/>
      <c r="AA215" s="3">
        <v>0</v>
      </c>
      <c r="AC215" s="9">
        <f t="shared" si="3"/>
        <v>0</v>
      </c>
    </row>
    <row r="216" spans="1:29" s="9" customFormat="1" ht="12">
      <c r="A216" s="9" t="s">
        <v>200</v>
      </c>
      <c r="C216" s="9" t="s">
        <v>201</v>
      </c>
      <c r="E216" s="3">
        <v>0</v>
      </c>
      <c r="F216" s="3"/>
      <c r="G216" s="3">
        <v>1003084</v>
      </c>
      <c r="H216" s="3"/>
      <c r="I216" s="3">
        <v>0</v>
      </c>
      <c r="J216" s="3"/>
      <c r="K216" s="3">
        <v>40622</v>
      </c>
      <c r="L216" s="3"/>
      <c r="M216" s="3">
        <v>0</v>
      </c>
      <c r="N216" s="3"/>
      <c r="O216" s="3">
        <v>1255</v>
      </c>
      <c r="P216" s="3"/>
      <c r="Q216" s="3">
        <v>129290</v>
      </c>
      <c r="R216" s="3"/>
      <c r="S216" s="3">
        <v>12866</v>
      </c>
      <c r="T216" s="3"/>
      <c r="U216" s="3">
        <v>0</v>
      </c>
      <c r="V216" s="3"/>
      <c r="W216" s="3">
        <v>0</v>
      </c>
      <c r="X216" s="3"/>
      <c r="Y216" s="3">
        <v>0</v>
      </c>
      <c r="Z216" s="3"/>
      <c r="AA216" s="3">
        <v>0</v>
      </c>
      <c r="AC216" s="9">
        <f t="shared" si="3"/>
        <v>1187117</v>
      </c>
    </row>
    <row r="217" spans="1:29" s="9" customFormat="1" ht="12">
      <c r="A217" s="9" t="s">
        <v>12</v>
      </c>
      <c r="C217" s="9" t="s">
        <v>13</v>
      </c>
      <c r="E217" s="3">
        <v>293859</v>
      </c>
      <c r="F217" s="3"/>
      <c r="G217" s="3">
        <v>608300</v>
      </c>
      <c r="H217" s="3"/>
      <c r="I217" s="3">
        <v>0</v>
      </c>
      <c r="J217" s="3"/>
      <c r="K217" s="3">
        <v>23987</v>
      </c>
      <c r="L217" s="3"/>
      <c r="M217" s="3">
        <v>0</v>
      </c>
      <c r="N217" s="3"/>
      <c r="O217" s="3">
        <v>1135</v>
      </c>
      <c r="P217" s="3"/>
      <c r="Q217" s="3">
        <v>55942</v>
      </c>
      <c r="R217" s="3"/>
      <c r="S217" s="3">
        <v>1788</v>
      </c>
      <c r="T217" s="3"/>
      <c r="U217" s="3">
        <v>0</v>
      </c>
      <c r="V217" s="3"/>
      <c r="W217" s="3">
        <v>0</v>
      </c>
      <c r="X217" s="3"/>
      <c r="Y217" s="3">
        <v>0</v>
      </c>
      <c r="Z217" s="3"/>
      <c r="AA217" s="3">
        <v>0</v>
      </c>
      <c r="AC217" s="9">
        <f t="shared" si="3"/>
        <v>985011</v>
      </c>
    </row>
    <row r="218" spans="1:29" s="9" customFormat="1" ht="12">
      <c r="A218" s="9" t="s">
        <v>202</v>
      </c>
      <c r="C218" s="9" t="s">
        <v>60</v>
      </c>
      <c r="E218" s="3">
        <v>4273652</v>
      </c>
      <c r="F218" s="3"/>
      <c r="G218" s="3">
        <v>4103610</v>
      </c>
      <c r="H218" s="3"/>
      <c r="I218" s="3">
        <v>758658</v>
      </c>
      <c r="J218" s="3"/>
      <c r="K218" s="3">
        <v>118144</v>
      </c>
      <c r="L218" s="3"/>
      <c r="M218" s="3">
        <v>9700</v>
      </c>
      <c r="N218" s="3"/>
      <c r="O218" s="3">
        <v>40502</v>
      </c>
      <c r="P218" s="3"/>
      <c r="Q218" s="3">
        <v>179867</v>
      </c>
      <c r="R218" s="3"/>
      <c r="S218" s="3">
        <v>36641</v>
      </c>
      <c r="T218" s="3"/>
      <c r="U218" s="3">
        <v>0</v>
      </c>
      <c r="V218" s="3"/>
      <c r="W218" s="3">
        <v>0</v>
      </c>
      <c r="X218" s="3"/>
      <c r="Y218" s="3">
        <v>0</v>
      </c>
      <c r="Z218" s="3"/>
      <c r="AA218" s="3">
        <v>0</v>
      </c>
      <c r="AC218" s="9">
        <f t="shared" si="3"/>
        <v>9520774</v>
      </c>
    </row>
    <row r="219" spans="1:29" s="9" customFormat="1" ht="12" hidden="1">
      <c r="A219" s="9" t="s">
        <v>286</v>
      </c>
      <c r="C219" s="9" t="s">
        <v>71</v>
      </c>
      <c r="E219" s="3">
        <v>0</v>
      </c>
      <c r="F219" s="3"/>
      <c r="G219" s="3">
        <v>0</v>
      </c>
      <c r="H219" s="3"/>
      <c r="I219" s="3">
        <v>0</v>
      </c>
      <c r="J219" s="3"/>
      <c r="K219" s="3">
        <v>0</v>
      </c>
      <c r="L219" s="3"/>
      <c r="M219" s="3">
        <v>0</v>
      </c>
      <c r="N219" s="3"/>
      <c r="O219" s="3">
        <v>0</v>
      </c>
      <c r="P219" s="3"/>
      <c r="Q219" s="3">
        <v>0</v>
      </c>
      <c r="R219" s="3"/>
      <c r="S219" s="3">
        <v>0</v>
      </c>
      <c r="T219" s="3"/>
      <c r="U219" s="3">
        <v>0</v>
      </c>
      <c r="V219" s="3"/>
      <c r="W219" s="3">
        <v>0</v>
      </c>
      <c r="X219" s="3"/>
      <c r="Y219" s="3">
        <v>0</v>
      </c>
      <c r="Z219" s="3"/>
      <c r="AA219" s="3">
        <v>0</v>
      </c>
      <c r="AC219" s="9">
        <f t="shared" si="3"/>
        <v>0</v>
      </c>
    </row>
    <row r="220" spans="1:29" s="9" customFormat="1" ht="12" hidden="1">
      <c r="A220" s="9" t="s">
        <v>287</v>
      </c>
      <c r="C220" s="9" t="s">
        <v>48</v>
      </c>
      <c r="E220" s="3">
        <v>0</v>
      </c>
      <c r="F220" s="3"/>
      <c r="G220" s="3">
        <v>0</v>
      </c>
      <c r="H220" s="3"/>
      <c r="I220" s="3">
        <v>0</v>
      </c>
      <c r="J220" s="3"/>
      <c r="K220" s="3">
        <v>0</v>
      </c>
      <c r="L220" s="3"/>
      <c r="M220" s="3">
        <v>0</v>
      </c>
      <c r="N220" s="3"/>
      <c r="O220" s="3">
        <v>0</v>
      </c>
      <c r="P220" s="3"/>
      <c r="Q220" s="3">
        <v>0</v>
      </c>
      <c r="R220" s="3"/>
      <c r="S220" s="3">
        <v>0</v>
      </c>
      <c r="T220" s="3"/>
      <c r="U220" s="3">
        <v>0</v>
      </c>
      <c r="V220" s="3"/>
      <c r="W220" s="3">
        <v>0</v>
      </c>
      <c r="X220" s="3"/>
      <c r="Y220" s="3">
        <v>0</v>
      </c>
      <c r="Z220" s="3"/>
      <c r="AA220" s="3">
        <v>0</v>
      </c>
      <c r="AC220" s="9">
        <f t="shared" si="3"/>
        <v>0</v>
      </c>
    </row>
    <row r="221" spans="1:29" s="9" customFormat="1" ht="12">
      <c r="A221" s="9" t="s">
        <v>203</v>
      </c>
      <c r="C221" s="9" t="s">
        <v>87</v>
      </c>
      <c r="E221" s="3">
        <v>3769</v>
      </c>
      <c r="F221" s="3"/>
      <c r="G221" s="3">
        <v>693771</v>
      </c>
      <c r="H221" s="3"/>
      <c r="I221" s="3">
        <v>0</v>
      </c>
      <c r="J221" s="3"/>
      <c r="K221" s="3">
        <v>17184</v>
      </c>
      <c r="L221" s="3"/>
      <c r="M221" s="3">
        <v>362</v>
      </c>
      <c r="N221" s="3"/>
      <c r="O221" s="3">
        <v>4149</v>
      </c>
      <c r="P221" s="3"/>
      <c r="Q221" s="3">
        <v>16655</v>
      </c>
      <c r="R221" s="3"/>
      <c r="S221" s="3">
        <v>1186</v>
      </c>
      <c r="T221" s="3"/>
      <c r="U221" s="3">
        <v>0</v>
      </c>
      <c r="V221" s="3"/>
      <c r="W221" s="3">
        <v>0</v>
      </c>
      <c r="X221" s="3"/>
      <c r="Y221" s="3">
        <v>0</v>
      </c>
      <c r="Z221" s="3"/>
      <c r="AA221" s="3">
        <v>0</v>
      </c>
      <c r="AC221" s="9">
        <f t="shared" si="3"/>
        <v>737076</v>
      </c>
    </row>
    <row r="222" spans="1:29" s="9" customFormat="1" ht="12" hidden="1">
      <c r="A222" s="9" t="s">
        <v>289</v>
      </c>
      <c r="C222" s="9" t="s">
        <v>113</v>
      </c>
      <c r="E222" s="3">
        <v>0</v>
      </c>
      <c r="F222" s="3"/>
      <c r="G222" s="3">
        <v>0</v>
      </c>
      <c r="H222" s="3"/>
      <c r="I222" s="3">
        <v>0</v>
      </c>
      <c r="J222" s="3"/>
      <c r="K222" s="3">
        <v>0</v>
      </c>
      <c r="L222" s="3"/>
      <c r="M222" s="3">
        <v>0</v>
      </c>
      <c r="N222" s="3"/>
      <c r="O222" s="3">
        <v>0</v>
      </c>
      <c r="P222" s="3"/>
      <c r="Q222" s="3">
        <v>0</v>
      </c>
      <c r="R222" s="3"/>
      <c r="S222" s="3">
        <v>0</v>
      </c>
      <c r="T222" s="3"/>
      <c r="U222" s="3">
        <v>0</v>
      </c>
      <c r="V222" s="3"/>
      <c r="W222" s="3">
        <v>0</v>
      </c>
      <c r="X222" s="3"/>
      <c r="Y222" s="3">
        <v>0</v>
      </c>
      <c r="Z222" s="3"/>
      <c r="AA222" s="3">
        <v>0</v>
      </c>
      <c r="AC222" s="9">
        <f t="shared" si="3"/>
        <v>0</v>
      </c>
    </row>
    <row r="223" spans="1:62" s="9" customFormat="1" ht="12">
      <c r="A223" s="38" t="s">
        <v>355</v>
      </c>
      <c r="B223" s="38"/>
      <c r="C223" s="38" t="s">
        <v>26</v>
      </c>
      <c r="D223" s="38"/>
      <c r="E223" s="38">
        <v>693003.02</v>
      </c>
      <c r="F223" s="38"/>
      <c r="G223" s="38">
        <v>0</v>
      </c>
      <c r="H223" s="38"/>
      <c r="I223" s="38">
        <v>0</v>
      </c>
      <c r="J223" s="38"/>
      <c r="K223" s="38">
        <v>26732.37</v>
      </c>
      <c r="L223" s="38"/>
      <c r="M223" s="38">
        <v>8602.79</v>
      </c>
      <c r="N223" s="38"/>
      <c r="O223" s="38">
        <v>9677.7</v>
      </c>
      <c r="P223" s="38"/>
      <c r="Q223" s="38">
        <v>4761.49</v>
      </c>
      <c r="R223" s="38"/>
      <c r="S223" s="38">
        <v>900.61</v>
      </c>
      <c r="T223" s="38"/>
      <c r="U223" s="38">
        <v>3993</v>
      </c>
      <c r="V223" s="38"/>
      <c r="W223" s="38">
        <v>0</v>
      </c>
      <c r="X223" s="38"/>
      <c r="Y223" s="38">
        <v>0</v>
      </c>
      <c r="Z223" s="38"/>
      <c r="AA223" s="38">
        <v>0</v>
      </c>
      <c r="AB223" s="38"/>
      <c r="AC223" s="9">
        <f t="shared" si="3"/>
        <v>747670.98</v>
      </c>
      <c r="AD223" s="39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</row>
    <row r="224" spans="1:29" s="9" customFormat="1" ht="12">
      <c r="A224" s="9" t="s">
        <v>205</v>
      </c>
      <c r="C224" s="9" t="s">
        <v>16</v>
      </c>
      <c r="E224" s="3">
        <v>285178</v>
      </c>
      <c r="F224" s="3"/>
      <c r="G224" s="3">
        <v>0</v>
      </c>
      <c r="H224" s="3"/>
      <c r="I224" s="3">
        <v>844008</v>
      </c>
      <c r="J224" s="3"/>
      <c r="K224" s="3">
        <v>34085</v>
      </c>
      <c r="L224" s="3"/>
      <c r="M224" s="3">
        <v>0</v>
      </c>
      <c r="N224" s="3"/>
      <c r="O224" s="3">
        <v>12692</v>
      </c>
      <c r="P224" s="3"/>
      <c r="Q224" s="3">
        <v>70076</v>
      </c>
      <c r="R224" s="3"/>
      <c r="S224" s="3">
        <v>150</v>
      </c>
      <c r="T224" s="3"/>
      <c r="U224" s="3">
        <v>0</v>
      </c>
      <c r="V224" s="3"/>
      <c r="W224" s="3">
        <v>0</v>
      </c>
      <c r="X224" s="3"/>
      <c r="Y224" s="3">
        <v>0</v>
      </c>
      <c r="Z224" s="3"/>
      <c r="AA224" s="3">
        <v>475</v>
      </c>
      <c r="AC224" s="9">
        <f t="shared" si="3"/>
        <v>1246664</v>
      </c>
    </row>
    <row r="225" spans="1:29" s="9" customFormat="1" ht="12" hidden="1">
      <c r="A225" s="9" t="s">
        <v>291</v>
      </c>
      <c r="C225" s="9" t="s">
        <v>47</v>
      </c>
      <c r="E225" s="3">
        <v>0</v>
      </c>
      <c r="F225" s="3"/>
      <c r="G225" s="3">
        <v>0</v>
      </c>
      <c r="H225" s="3"/>
      <c r="I225" s="3">
        <v>0</v>
      </c>
      <c r="J225" s="3"/>
      <c r="K225" s="3">
        <v>0</v>
      </c>
      <c r="L225" s="3"/>
      <c r="M225" s="3">
        <v>0</v>
      </c>
      <c r="N225" s="3"/>
      <c r="O225" s="3">
        <v>0</v>
      </c>
      <c r="P225" s="3"/>
      <c r="Q225" s="3">
        <v>0</v>
      </c>
      <c r="R225" s="3"/>
      <c r="S225" s="3">
        <v>0</v>
      </c>
      <c r="T225" s="3"/>
      <c r="U225" s="3">
        <v>0</v>
      </c>
      <c r="V225" s="3"/>
      <c r="W225" s="3">
        <v>0</v>
      </c>
      <c r="X225" s="3"/>
      <c r="Y225" s="3">
        <v>0</v>
      </c>
      <c r="Z225" s="3"/>
      <c r="AA225" s="3">
        <v>0</v>
      </c>
      <c r="AC225" s="9">
        <f t="shared" si="3"/>
        <v>0</v>
      </c>
    </row>
    <row r="226" spans="1:29" s="9" customFormat="1" ht="12" hidden="1">
      <c r="A226" s="9" t="s">
        <v>364</v>
      </c>
      <c r="C226" s="9" t="s">
        <v>14</v>
      </c>
      <c r="E226" s="3">
        <v>0</v>
      </c>
      <c r="F226" s="3"/>
      <c r="G226" s="3">
        <v>0</v>
      </c>
      <c r="H226" s="3"/>
      <c r="I226" s="3">
        <v>0</v>
      </c>
      <c r="J226" s="3"/>
      <c r="K226" s="3">
        <v>0</v>
      </c>
      <c r="L226" s="3"/>
      <c r="M226" s="3">
        <v>0</v>
      </c>
      <c r="N226" s="3"/>
      <c r="O226" s="3">
        <v>0</v>
      </c>
      <c r="P226" s="3"/>
      <c r="Q226" s="3">
        <v>0</v>
      </c>
      <c r="R226" s="3"/>
      <c r="S226" s="3">
        <v>0</v>
      </c>
      <c r="T226" s="3"/>
      <c r="U226" s="3">
        <v>0</v>
      </c>
      <c r="V226" s="3"/>
      <c r="W226" s="3">
        <v>0</v>
      </c>
      <c r="X226" s="3"/>
      <c r="Y226" s="3">
        <v>0</v>
      </c>
      <c r="Z226" s="3"/>
      <c r="AA226" s="3">
        <v>0</v>
      </c>
      <c r="AC226" s="9">
        <f t="shared" si="3"/>
        <v>0</v>
      </c>
    </row>
    <row r="227" spans="1:29" s="9" customFormat="1" ht="12">
      <c r="A227" s="9" t="s">
        <v>206</v>
      </c>
      <c r="C227" s="9" t="s">
        <v>207</v>
      </c>
      <c r="E227" s="3">
        <v>3579466</v>
      </c>
      <c r="F227" s="3"/>
      <c r="G227" s="3">
        <v>4487369</v>
      </c>
      <c r="H227" s="3"/>
      <c r="I227" s="3">
        <v>331069</v>
      </c>
      <c r="J227" s="3"/>
      <c r="K227" s="3">
        <v>210162</v>
      </c>
      <c r="L227" s="3"/>
      <c r="M227" s="3">
        <v>0</v>
      </c>
      <c r="N227" s="3"/>
      <c r="O227" s="3">
        <v>21389</v>
      </c>
      <c r="P227" s="3"/>
      <c r="Q227" s="3">
        <v>269833</v>
      </c>
      <c r="R227" s="3"/>
      <c r="S227" s="3">
        <v>155517</v>
      </c>
      <c r="T227" s="3"/>
      <c r="U227" s="3">
        <v>0</v>
      </c>
      <c r="V227" s="3"/>
      <c r="W227" s="3">
        <v>4015</v>
      </c>
      <c r="X227" s="3"/>
      <c r="Y227" s="3">
        <v>0</v>
      </c>
      <c r="Z227" s="3"/>
      <c r="AA227" s="3">
        <v>0</v>
      </c>
      <c r="AC227" s="9">
        <f t="shared" si="3"/>
        <v>9058820</v>
      </c>
    </row>
    <row r="228" spans="1:62" s="9" customFormat="1" ht="12">
      <c r="A228" s="38" t="s">
        <v>208</v>
      </c>
      <c r="B228" s="38"/>
      <c r="C228" s="38" t="s">
        <v>109</v>
      </c>
      <c r="D228" s="38"/>
      <c r="E228" s="38">
        <v>0</v>
      </c>
      <c r="F228" s="38"/>
      <c r="G228" s="38">
        <v>61316.65</v>
      </c>
      <c r="H228" s="38"/>
      <c r="I228" s="38">
        <v>0</v>
      </c>
      <c r="J228" s="38"/>
      <c r="K228" s="38">
        <v>827.18</v>
      </c>
      <c r="L228" s="38"/>
      <c r="M228" s="38">
        <v>0</v>
      </c>
      <c r="N228" s="38"/>
      <c r="O228" s="38">
        <v>0</v>
      </c>
      <c r="P228" s="38"/>
      <c r="Q228" s="38">
        <v>22.36</v>
      </c>
      <c r="R228" s="38"/>
      <c r="S228" s="38">
        <v>0</v>
      </c>
      <c r="T228" s="38"/>
      <c r="U228" s="38">
        <v>0</v>
      </c>
      <c r="V228" s="38"/>
      <c r="W228" s="38">
        <v>0</v>
      </c>
      <c r="X228" s="38"/>
      <c r="Y228" s="38">
        <v>0</v>
      </c>
      <c r="Z228" s="38"/>
      <c r="AA228" s="38">
        <v>0</v>
      </c>
      <c r="AB228" s="38"/>
      <c r="AC228" s="9">
        <f t="shared" si="3"/>
        <v>62166.19</v>
      </c>
      <c r="AD228" s="39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</row>
    <row r="229" spans="1:29" s="9" customFormat="1" ht="12">
      <c r="A229" s="9" t="s">
        <v>209</v>
      </c>
      <c r="C229" s="9" t="s">
        <v>210</v>
      </c>
      <c r="E229" s="3">
        <v>0</v>
      </c>
      <c r="F229" s="3"/>
      <c r="G229" s="3">
        <v>2446308</v>
      </c>
      <c r="H229" s="3"/>
      <c r="I229" s="3">
        <v>0</v>
      </c>
      <c r="J229" s="3"/>
      <c r="K229" s="3">
        <v>78357</v>
      </c>
      <c r="L229" s="3"/>
      <c r="M229" s="3">
        <v>0</v>
      </c>
      <c r="N229" s="3"/>
      <c r="O229" s="3">
        <v>7243</v>
      </c>
      <c r="P229" s="3"/>
      <c r="Q229" s="3">
        <v>63798</v>
      </c>
      <c r="R229" s="3"/>
      <c r="S229" s="3">
        <v>43801</v>
      </c>
      <c r="T229" s="3"/>
      <c r="U229" s="3">
        <v>0</v>
      </c>
      <c r="V229" s="3"/>
      <c r="W229" s="3">
        <v>0</v>
      </c>
      <c r="X229" s="3"/>
      <c r="Y229" s="3">
        <v>0</v>
      </c>
      <c r="Z229" s="3"/>
      <c r="AA229" s="3">
        <v>0</v>
      </c>
      <c r="AC229" s="9">
        <f t="shared" si="3"/>
        <v>2639507</v>
      </c>
    </row>
    <row r="230" spans="1:29" s="9" customFormat="1" ht="12" hidden="1">
      <c r="A230" s="9" t="s">
        <v>297</v>
      </c>
      <c r="C230" s="9" t="s">
        <v>45</v>
      </c>
      <c r="E230" s="3">
        <v>0</v>
      </c>
      <c r="F230" s="3"/>
      <c r="G230" s="3">
        <v>0</v>
      </c>
      <c r="H230" s="3"/>
      <c r="I230" s="3">
        <v>0</v>
      </c>
      <c r="J230" s="3"/>
      <c r="K230" s="3">
        <v>0</v>
      </c>
      <c r="L230" s="3"/>
      <c r="M230" s="3">
        <v>0</v>
      </c>
      <c r="N230" s="3"/>
      <c r="O230" s="3">
        <v>0</v>
      </c>
      <c r="P230" s="3"/>
      <c r="Q230" s="3">
        <v>0</v>
      </c>
      <c r="R230" s="3"/>
      <c r="S230" s="3">
        <v>0</v>
      </c>
      <c r="T230" s="3"/>
      <c r="U230" s="3">
        <v>0</v>
      </c>
      <c r="V230" s="3"/>
      <c r="W230" s="3">
        <v>0</v>
      </c>
      <c r="X230" s="3"/>
      <c r="Y230" s="3">
        <v>0</v>
      </c>
      <c r="Z230" s="3"/>
      <c r="AA230" s="3">
        <v>0</v>
      </c>
      <c r="AC230" s="9">
        <f t="shared" si="3"/>
        <v>0</v>
      </c>
    </row>
    <row r="231" spans="1:29" s="9" customFormat="1" ht="12" hidden="1">
      <c r="A231" s="9" t="s">
        <v>365</v>
      </c>
      <c r="C231" s="9" t="s">
        <v>186</v>
      </c>
      <c r="E231" s="3">
        <v>0</v>
      </c>
      <c r="F231" s="3"/>
      <c r="G231" s="3">
        <v>0</v>
      </c>
      <c r="H231" s="3"/>
      <c r="I231" s="3">
        <v>0</v>
      </c>
      <c r="J231" s="3"/>
      <c r="K231" s="3">
        <v>0</v>
      </c>
      <c r="L231" s="3"/>
      <c r="M231" s="3">
        <v>0</v>
      </c>
      <c r="N231" s="3"/>
      <c r="O231" s="3">
        <v>0</v>
      </c>
      <c r="P231" s="3"/>
      <c r="Q231" s="3">
        <v>0</v>
      </c>
      <c r="R231" s="3"/>
      <c r="S231" s="3">
        <v>0</v>
      </c>
      <c r="T231" s="3"/>
      <c r="U231" s="3">
        <v>0</v>
      </c>
      <c r="V231" s="3"/>
      <c r="W231" s="3">
        <v>0</v>
      </c>
      <c r="X231" s="3"/>
      <c r="Y231" s="3">
        <v>0</v>
      </c>
      <c r="Z231" s="3"/>
      <c r="AA231" s="3">
        <v>0</v>
      </c>
      <c r="AC231" s="9">
        <f t="shared" si="3"/>
        <v>0</v>
      </c>
    </row>
    <row r="232" spans="1:29" s="9" customFormat="1" ht="12">
      <c r="A232" s="9" t="s">
        <v>486</v>
      </c>
      <c r="C232" s="9" t="s">
        <v>14</v>
      </c>
      <c r="E232" s="3">
        <v>0</v>
      </c>
      <c r="F232" s="3"/>
      <c r="G232" s="3">
        <v>1162484</v>
      </c>
      <c r="H232" s="3"/>
      <c r="I232" s="3">
        <v>0</v>
      </c>
      <c r="J232" s="3"/>
      <c r="K232" s="3">
        <v>31405</v>
      </c>
      <c r="L232" s="3"/>
      <c r="M232" s="3">
        <v>0</v>
      </c>
      <c r="N232" s="3"/>
      <c r="O232" s="3">
        <v>9304</v>
      </c>
      <c r="P232" s="3"/>
      <c r="Q232" s="3">
        <v>10068</v>
      </c>
      <c r="R232" s="3"/>
      <c r="S232" s="3">
        <v>10258</v>
      </c>
      <c r="T232" s="3"/>
      <c r="U232" s="3">
        <v>0</v>
      </c>
      <c r="V232" s="3"/>
      <c r="W232" s="3">
        <v>0</v>
      </c>
      <c r="X232" s="3"/>
      <c r="Y232" s="3">
        <v>0</v>
      </c>
      <c r="Z232" s="3"/>
      <c r="AA232" s="3">
        <v>0</v>
      </c>
      <c r="AC232" s="9">
        <f t="shared" si="3"/>
        <v>1223519</v>
      </c>
    </row>
    <row r="233" spans="1:62" s="9" customFormat="1" ht="12">
      <c r="A233" s="38" t="s">
        <v>486</v>
      </c>
      <c r="B233" s="38"/>
      <c r="C233" s="38" t="s">
        <v>14</v>
      </c>
      <c r="D233" s="38"/>
      <c r="E233" s="38">
        <v>0</v>
      </c>
      <c r="F233" s="38"/>
      <c r="G233" s="38">
        <v>1162483.51</v>
      </c>
      <c r="H233" s="38"/>
      <c r="I233" s="38">
        <v>0</v>
      </c>
      <c r="J233" s="38"/>
      <c r="K233" s="38">
        <v>31404.9</v>
      </c>
      <c r="L233" s="38"/>
      <c r="M233" s="38">
        <v>0</v>
      </c>
      <c r="N233" s="38"/>
      <c r="O233" s="38">
        <v>9303.74</v>
      </c>
      <c r="P233" s="38"/>
      <c r="Q233" s="38">
        <v>10067.92</v>
      </c>
      <c r="R233" s="38"/>
      <c r="S233" s="38">
        <v>10258.41</v>
      </c>
      <c r="T233" s="38"/>
      <c r="U233" s="38">
        <v>0</v>
      </c>
      <c r="V233" s="38"/>
      <c r="W233" s="38">
        <v>0</v>
      </c>
      <c r="X233" s="38"/>
      <c r="Y233" s="38">
        <v>0</v>
      </c>
      <c r="Z233" s="38"/>
      <c r="AA233" s="38">
        <v>0</v>
      </c>
      <c r="AB233" s="38"/>
      <c r="AC233" s="9">
        <f t="shared" si="3"/>
        <v>1223518.4799999997</v>
      </c>
      <c r="AD233" s="39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</row>
    <row r="234" spans="1:62" s="9" customFormat="1" ht="12">
      <c r="A234" s="38" t="s">
        <v>211</v>
      </c>
      <c r="B234" s="38"/>
      <c r="C234" s="38" t="s">
        <v>207</v>
      </c>
      <c r="D234" s="38"/>
      <c r="E234" s="38">
        <v>0</v>
      </c>
      <c r="F234" s="38"/>
      <c r="G234" s="38">
        <v>540151.94</v>
      </c>
      <c r="H234" s="38"/>
      <c r="I234" s="38">
        <v>500</v>
      </c>
      <c r="J234" s="38"/>
      <c r="K234" s="38">
        <v>23574.57</v>
      </c>
      <c r="L234" s="38"/>
      <c r="M234" s="38">
        <v>0</v>
      </c>
      <c r="N234" s="38"/>
      <c r="O234" s="38">
        <v>9556.45</v>
      </c>
      <c r="P234" s="38"/>
      <c r="Q234" s="38">
        <v>52620.91</v>
      </c>
      <c r="R234" s="38"/>
      <c r="S234" s="38">
        <v>6412.5</v>
      </c>
      <c r="T234" s="38"/>
      <c r="U234" s="38">
        <v>655</v>
      </c>
      <c r="V234" s="38"/>
      <c r="W234" s="38">
        <v>0</v>
      </c>
      <c r="X234" s="38"/>
      <c r="Y234" s="38">
        <v>0</v>
      </c>
      <c r="Z234" s="38"/>
      <c r="AA234" s="38">
        <v>0</v>
      </c>
      <c r="AB234" s="38"/>
      <c r="AC234" s="9">
        <f t="shared" si="3"/>
        <v>633471.3699999999</v>
      </c>
      <c r="AD234" s="39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</row>
    <row r="235" spans="1:62" s="9" customFormat="1" ht="12">
      <c r="A235" s="38" t="s">
        <v>212</v>
      </c>
      <c r="B235" s="38"/>
      <c r="C235" s="38" t="s">
        <v>57</v>
      </c>
      <c r="D235" s="38"/>
      <c r="E235" s="38">
        <v>0</v>
      </c>
      <c r="F235" s="38"/>
      <c r="G235" s="38">
        <v>688674.8</v>
      </c>
      <c r="H235" s="38"/>
      <c r="I235" s="38">
        <v>1390</v>
      </c>
      <c r="J235" s="38"/>
      <c r="K235" s="38">
        <v>17539.08</v>
      </c>
      <c r="L235" s="38"/>
      <c r="M235" s="38">
        <v>0</v>
      </c>
      <c r="N235" s="38"/>
      <c r="O235" s="38">
        <v>11000.54</v>
      </c>
      <c r="P235" s="38"/>
      <c r="Q235" s="38">
        <v>18353.65</v>
      </c>
      <c r="R235" s="38"/>
      <c r="S235" s="38">
        <v>9718.81</v>
      </c>
      <c r="T235" s="38"/>
      <c r="U235" s="38">
        <v>0</v>
      </c>
      <c r="V235" s="38"/>
      <c r="W235" s="38">
        <v>0</v>
      </c>
      <c r="X235" s="38"/>
      <c r="Y235" s="38">
        <v>0</v>
      </c>
      <c r="Z235" s="38"/>
      <c r="AA235" s="38">
        <v>0</v>
      </c>
      <c r="AB235" s="38"/>
      <c r="AC235" s="9">
        <f t="shared" si="3"/>
        <v>746676.8800000001</v>
      </c>
      <c r="AD235" s="39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</row>
    <row r="236" spans="1:62" s="9" customFormat="1" ht="12">
      <c r="A236" s="38" t="s">
        <v>213</v>
      </c>
      <c r="B236" s="38"/>
      <c r="C236" s="38" t="s">
        <v>64</v>
      </c>
      <c r="D236" s="38"/>
      <c r="E236" s="38">
        <v>0</v>
      </c>
      <c r="F236" s="38"/>
      <c r="G236" s="38">
        <v>557015.37</v>
      </c>
      <c r="H236" s="38"/>
      <c r="I236" s="38">
        <v>0</v>
      </c>
      <c r="J236" s="38"/>
      <c r="K236" s="38">
        <v>18637.94</v>
      </c>
      <c r="L236" s="38"/>
      <c r="M236" s="38">
        <v>0</v>
      </c>
      <c r="N236" s="38"/>
      <c r="O236" s="38">
        <v>7169.02</v>
      </c>
      <c r="P236" s="38"/>
      <c r="Q236" s="38">
        <v>194296.29</v>
      </c>
      <c r="R236" s="38"/>
      <c r="S236" s="38">
        <v>32721.92</v>
      </c>
      <c r="T236" s="38"/>
      <c r="U236" s="38">
        <v>0</v>
      </c>
      <c r="V236" s="38"/>
      <c r="W236" s="38">
        <v>184933.51</v>
      </c>
      <c r="X236" s="38"/>
      <c r="Y236" s="38">
        <v>0</v>
      </c>
      <c r="Z236" s="38"/>
      <c r="AA236" s="38">
        <v>0</v>
      </c>
      <c r="AB236" s="38"/>
      <c r="AC236" s="9">
        <f t="shared" si="3"/>
        <v>994774.05</v>
      </c>
      <c r="AD236" s="39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</row>
    <row r="237" spans="1:29" s="9" customFormat="1" ht="12">
      <c r="A237" s="9" t="s">
        <v>214</v>
      </c>
      <c r="C237" s="9" t="s">
        <v>215</v>
      </c>
      <c r="E237" s="3">
        <v>817095</v>
      </c>
      <c r="F237" s="3"/>
      <c r="G237" s="3">
        <v>752640</v>
      </c>
      <c r="H237" s="3"/>
      <c r="I237" s="3">
        <v>0</v>
      </c>
      <c r="J237" s="3"/>
      <c r="K237" s="3">
        <v>59547</v>
      </c>
      <c r="L237" s="3"/>
      <c r="M237" s="3">
        <v>0</v>
      </c>
      <c r="N237" s="3"/>
      <c r="O237" s="3">
        <v>13491</v>
      </c>
      <c r="P237" s="3"/>
      <c r="Q237" s="3">
        <v>37482</v>
      </c>
      <c r="R237" s="3"/>
      <c r="S237" s="3">
        <v>0</v>
      </c>
      <c r="T237" s="3"/>
      <c r="U237" s="3">
        <v>0</v>
      </c>
      <c r="V237" s="3"/>
      <c r="W237" s="3">
        <v>0</v>
      </c>
      <c r="X237" s="3"/>
      <c r="Y237" s="3">
        <v>0</v>
      </c>
      <c r="Z237" s="3"/>
      <c r="AA237" s="3">
        <v>0</v>
      </c>
      <c r="AC237" s="9">
        <f t="shared" si="3"/>
        <v>1680255</v>
      </c>
    </row>
    <row r="238" spans="1:62" s="9" customFormat="1" ht="12">
      <c r="A238" s="38" t="s">
        <v>216</v>
      </c>
      <c r="B238" s="38"/>
      <c r="C238" s="38" t="s">
        <v>57</v>
      </c>
      <c r="D238" s="38"/>
      <c r="E238" s="38">
        <v>0</v>
      </c>
      <c r="F238" s="38"/>
      <c r="G238" s="38">
        <v>1222499.09</v>
      </c>
      <c r="H238" s="38"/>
      <c r="I238" s="38">
        <v>0</v>
      </c>
      <c r="J238" s="38"/>
      <c r="K238" s="38">
        <v>47220.81</v>
      </c>
      <c r="L238" s="38"/>
      <c r="M238" s="38">
        <v>0</v>
      </c>
      <c r="N238" s="38"/>
      <c r="O238" s="38">
        <v>11109.54</v>
      </c>
      <c r="P238" s="38"/>
      <c r="Q238" s="38">
        <v>47077.91</v>
      </c>
      <c r="R238" s="38"/>
      <c r="S238" s="38">
        <v>2488.96</v>
      </c>
      <c r="T238" s="38"/>
      <c r="U238" s="38">
        <v>0</v>
      </c>
      <c r="V238" s="38"/>
      <c r="W238" s="38">
        <v>0</v>
      </c>
      <c r="X238" s="38"/>
      <c r="Y238" s="38">
        <v>0</v>
      </c>
      <c r="Z238" s="38"/>
      <c r="AA238" s="38">
        <v>0</v>
      </c>
      <c r="AB238" s="38"/>
      <c r="AC238" s="9">
        <f t="shared" si="3"/>
        <v>1330396.31</v>
      </c>
      <c r="AD238" s="39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</row>
    <row r="239" spans="1:62" s="9" customFormat="1" ht="12">
      <c r="A239" s="38" t="s">
        <v>528</v>
      </c>
      <c r="B239" s="38"/>
      <c r="C239" s="38" t="s">
        <v>26</v>
      </c>
      <c r="D239" s="38"/>
      <c r="E239" s="38">
        <v>827461.71</v>
      </c>
      <c r="F239" s="38"/>
      <c r="G239" s="38">
        <v>1615644.24</v>
      </c>
      <c r="H239" s="38"/>
      <c r="I239" s="38">
        <v>42433.45</v>
      </c>
      <c r="J239" s="38"/>
      <c r="K239" s="38">
        <v>46791.41</v>
      </c>
      <c r="L239" s="38"/>
      <c r="M239" s="38">
        <v>0</v>
      </c>
      <c r="N239" s="38"/>
      <c r="O239" s="38">
        <v>16323.61</v>
      </c>
      <c r="P239" s="38"/>
      <c r="Q239" s="38">
        <v>54906.22</v>
      </c>
      <c r="R239" s="38"/>
      <c r="S239" s="38">
        <v>14000.21</v>
      </c>
      <c r="T239" s="38"/>
      <c r="U239" s="38">
        <v>446</v>
      </c>
      <c r="V239" s="38"/>
      <c r="W239" s="38">
        <v>0</v>
      </c>
      <c r="X239" s="38"/>
      <c r="Y239" s="38">
        <v>0</v>
      </c>
      <c r="Z239" s="38"/>
      <c r="AA239" s="38">
        <v>0</v>
      </c>
      <c r="AB239" s="38"/>
      <c r="AC239" s="9">
        <f t="shared" si="3"/>
        <v>2618006.8500000006</v>
      </c>
      <c r="AD239" s="39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</row>
    <row r="240" spans="1:62" s="9" customFormat="1" ht="12">
      <c r="A240" s="38" t="s">
        <v>218</v>
      </c>
      <c r="B240" s="38"/>
      <c r="C240" s="38" t="s">
        <v>150</v>
      </c>
      <c r="D240" s="38"/>
      <c r="E240" s="38">
        <v>0</v>
      </c>
      <c r="F240" s="38"/>
      <c r="G240" s="38">
        <v>313937.28</v>
      </c>
      <c r="H240" s="38"/>
      <c r="I240" s="38">
        <v>0</v>
      </c>
      <c r="J240" s="38"/>
      <c r="K240" s="38">
        <v>8611.82</v>
      </c>
      <c r="L240" s="38"/>
      <c r="M240" s="38">
        <v>0</v>
      </c>
      <c r="N240" s="38"/>
      <c r="O240" s="38">
        <v>4785.84</v>
      </c>
      <c r="P240" s="38"/>
      <c r="Q240" s="38">
        <v>1311.86</v>
      </c>
      <c r="R240" s="38"/>
      <c r="S240" s="38">
        <v>1647.45</v>
      </c>
      <c r="T240" s="38"/>
      <c r="U240" s="38">
        <v>0</v>
      </c>
      <c r="V240" s="38"/>
      <c r="W240" s="38">
        <v>0</v>
      </c>
      <c r="X240" s="38"/>
      <c r="Y240" s="38">
        <v>0</v>
      </c>
      <c r="Z240" s="38"/>
      <c r="AA240" s="38">
        <v>0</v>
      </c>
      <c r="AB240" s="38"/>
      <c r="AC240" s="9">
        <f aca="true" t="shared" si="4" ref="AC240:AC304">SUM(E240:AA240)</f>
        <v>330294.25000000006</v>
      </c>
      <c r="AD240" s="39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</row>
    <row r="241" spans="1:29" s="9" customFormat="1" ht="12">
      <c r="A241" s="9" t="s">
        <v>500</v>
      </c>
      <c r="C241" s="9" t="s">
        <v>59</v>
      </c>
      <c r="E241" s="3">
        <v>0</v>
      </c>
      <c r="F241" s="3"/>
      <c r="G241" s="3">
        <v>1101668</v>
      </c>
      <c r="H241" s="3"/>
      <c r="I241" s="3">
        <v>1250</v>
      </c>
      <c r="J241" s="3"/>
      <c r="K241" s="3">
        <v>26130</v>
      </c>
      <c r="L241" s="3"/>
      <c r="M241" s="3">
        <v>0</v>
      </c>
      <c r="N241" s="3"/>
      <c r="O241" s="3">
        <v>11127</v>
      </c>
      <c r="P241" s="3"/>
      <c r="Q241" s="3">
        <v>24524</v>
      </c>
      <c r="R241" s="3"/>
      <c r="S241" s="3">
        <v>9913</v>
      </c>
      <c r="T241" s="3"/>
      <c r="U241" s="3">
        <v>0</v>
      </c>
      <c r="V241" s="3"/>
      <c r="W241" s="3">
        <v>0</v>
      </c>
      <c r="X241" s="3"/>
      <c r="Y241" s="3">
        <v>0</v>
      </c>
      <c r="Z241" s="3"/>
      <c r="AA241" s="3">
        <v>0</v>
      </c>
      <c r="AC241" s="9">
        <f t="shared" si="4"/>
        <v>1174612</v>
      </c>
    </row>
    <row r="242" spans="1:62" s="9" customFormat="1" ht="12">
      <c r="A242" s="38" t="s">
        <v>219</v>
      </c>
      <c r="B242" s="38"/>
      <c r="C242" s="38" t="s">
        <v>65</v>
      </c>
      <c r="D242" s="38"/>
      <c r="E242" s="38">
        <v>0</v>
      </c>
      <c r="F242" s="38"/>
      <c r="G242" s="38">
        <v>311660.34</v>
      </c>
      <c r="H242" s="38"/>
      <c r="I242" s="38">
        <v>0</v>
      </c>
      <c r="J242" s="38"/>
      <c r="K242" s="38">
        <v>7801.32</v>
      </c>
      <c r="L242" s="38"/>
      <c r="M242" s="38">
        <v>0</v>
      </c>
      <c r="N242" s="38"/>
      <c r="O242" s="38">
        <v>9346.86</v>
      </c>
      <c r="P242" s="38"/>
      <c r="Q242" s="38">
        <v>2504.73</v>
      </c>
      <c r="R242" s="38"/>
      <c r="S242" s="38">
        <v>190.77</v>
      </c>
      <c r="T242" s="38"/>
      <c r="U242" s="38">
        <v>0</v>
      </c>
      <c r="V242" s="38"/>
      <c r="W242" s="38">
        <v>0</v>
      </c>
      <c r="X242" s="38"/>
      <c r="Y242" s="38">
        <v>0</v>
      </c>
      <c r="Z242" s="38"/>
      <c r="AA242" s="38">
        <v>0</v>
      </c>
      <c r="AB242" s="38"/>
      <c r="AC242" s="9">
        <f t="shared" si="4"/>
        <v>331504.02</v>
      </c>
      <c r="AD242" s="39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</row>
    <row r="243" spans="1:62" s="9" customFormat="1" ht="12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21" t="s">
        <v>8</v>
      </c>
      <c r="AD243" s="39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</row>
    <row r="244" spans="1:29" s="20" customFormat="1" ht="12">
      <c r="A244" s="20" t="s">
        <v>220</v>
      </c>
      <c r="C244" s="20" t="s">
        <v>21</v>
      </c>
      <c r="E244" s="4">
        <v>2688361</v>
      </c>
      <c r="F244" s="4"/>
      <c r="G244" s="4">
        <v>3879829</v>
      </c>
      <c r="H244" s="4"/>
      <c r="I244" s="4">
        <v>0</v>
      </c>
      <c r="J244" s="4"/>
      <c r="K244" s="4">
        <v>130263</v>
      </c>
      <c r="L244" s="4"/>
      <c r="M244" s="4">
        <v>0</v>
      </c>
      <c r="N244" s="4"/>
      <c r="O244" s="4">
        <v>4409</v>
      </c>
      <c r="P244" s="4"/>
      <c r="Q244" s="4">
        <v>231928</v>
      </c>
      <c r="R244" s="4"/>
      <c r="S244" s="4">
        <v>17007</v>
      </c>
      <c r="T244" s="4"/>
      <c r="U244" s="4">
        <v>0</v>
      </c>
      <c r="V244" s="4"/>
      <c r="W244" s="4">
        <v>0</v>
      </c>
      <c r="X244" s="4"/>
      <c r="Y244" s="4">
        <v>0</v>
      </c>
      <c r="Z244" s="4"/>
      <c r="AA244" s="4">
        <v>0</v>
      </c>
      <c r="AC244" s="20">
        <f t="shared" si="4"/>
        <v>6951797</v>
      </c>
    </row>
    <row r="245" spans="1:62" s="9" customFormat="1" ht="12">
      <c r="A245" s="38" t="s">
        <v>541</v>
      </c>
      <c r="B245" s="38"/>
      <c r="C245" s="38" t="s">
        <v>489</v>
      </c>
      <c r="D245" s="38"/>
      <c r="E245" s="38">
        <v>0</v>
      </c>
      <c r="F245" s="38"/>
      <c r="G245" s="38">
        <v>874016.91</v>
      </c>
      <c r="H245" s="38"/>
      <c r="I245" s="38">
        <v>0</v>
      </c>
      <c r="J245" s="38"/>
      <c r="K245" s="38">
        <v>15807.96</v>
      </c>
      <c r="L245" s="38"/>
      <c r="M245" s="38">
        <v>0</v>
      </c>
      <c r="N245" s="38"/>
      <c r="O245" s="38">
        <v>950.29</v>
      </c>
      <c r="P245" s="38"/>
      <c r="Q245" s="38">
        <v>45434.01</v>
      </c>
      <c r="R245" s="38"/>
      <c r="S245" s="38">
        <v>4772.04</v>
      </c>
      <c r="T245" s="38"/>
      <c r="U245" s="38">
        <v>0</v>
      </c>
      <c r="V245" s="38"/>
      <c r="W245" s="38">
        <v>0</v>
      </c>
      <c r="X245" s="38"/>
      <c r="Y245" s="38">
        <v>0</v>
      </c>
      <c r="Z245" s="38"/>
      <c r="AA245" s="38">
        <v>0</v>
      </c>
      <c r="AB245" s="38"/>
      <c r="AC245" s="9">
        <f t="shared" si="4"/>
        <v>940981.2100000001</v>
      </c>
      <c r="AD245" s="39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</row>
    <row r="246" spans="1:29" s="9" customFormat="1" ht="12" hidden="1">
      <c r="A246" s="9" t="s">
        <v>41</v>
      </c>
      <c r="C246" s="9" t="s">
        <v>45</v>
      </c>
      <c r="E246" s="3">
        <v>0</v>
      </c>
      <c r="F246" s="3"/>
      <c r="G246" s="3">
        <v>0</v>
      </c>
      <c r="H246" s="3"/>
      <c r="I246" s="3">
        <v>0</v>
      </c>
      <c r="J246" s="3"/>
      <c r="K246" s="3">
        <v>0</v>
      </c>
      <c r="L246" s="3"/>
      <c r="M246" s="3">
        <v>0</v>
      </c>
      <c r="N246" s="3"/>
      <c r="O246" s="3">
        <v>0</v>
      </c>
      <c r="P246" s="3"/>
      <c r="Q246" s="3">
        <v>0</v>
      </c>
      <c r="R246" s="3"/>
      <c r="S246" s="3">
        <v>0</v>
      </c>
      <c r="T246" s="3"/>
      <c r="U246" s="3">
        <v>0</v>
      </c>
      <c r="V246" s="3"/>
      <c r="W246" s="3">
        <v>0</v>
      </c>
      <c r="X246" s="3"/>
      <c r="Y246" s="3">
        <v>0</v>
      </c>
      <c r="Z246" s="3"/>
      <c r="AA246" s="3">
        <v>0</v>
      </c>
      <c r="AC246" s="9">
        <f t="shared" si="4"/>
        <v>0</v>
      </c>
    </row>
    <row r="247" spans="1:62" s="9" customFormat="1" ht="12">
      <c r="A247" s="38" t="s">
        <v>542</v>
      </c>
      <c r="B247" s="38"/>
      <c r="C247" s="38" t="s">
        <v>53</v>
      </c>
      <c r="D247" s="38"/>
      <c r="E247" s="38">
        <v>0</v>
      </c>
      <c r="F247" s="38"/>
      <c r="G247" s="38">
        <v>965175.91</v>
      </c>
      <c r="H247" s="38"/>
      <c r="I247" s="38">
        <v>0</v>
      </c>
      <c r="J247" s="38"/>
      <c r="K247" s="38">
        <v>10539.47</v>
      </c>
      <c r="L247" s="38"/>
      <c r="M247" s="38">
        <v>0</v>
      </c>
      <c r="N247" s="38"/>
      <c r="O247" s="38">
        <v>5</v>
      </c>
      <c r="P247" s="38"/>
      <c r="Q247" s="38">
        <v>8374.76</v>
      </c>
      <c r="R247" s="38"/>
      <c r="S247" s="38">
        <v>12204.77</v>
      </c>
      <c r="T247" s="38"/>
      <c r="U247" s="38">
        <v>0</v>
      </c>
      <c r="V247" s="38"/>
      <c r="W247" s="38">
        <v>0</v>
      </c>
      <c r="X247" s="38"/>
      <c r="Y247" s="38">
        <v>0</v>
      </c>
      <c r="Z247" s="38"/>
      <c r="AA247" s="38">
        <v>0</v>
      </c>
      <c r="AB247" s="38"/>
      <c r="AC247" s="9">
        <f t="shared" si="4"/>
        <v>996299.91</v>
      </c>
      <c r="AD247" s="39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</row>
    <row r="248" spans="1:29" s="9" customFormat="1" ht="12">
      <c r="A248" s="9" t="s">
        <v>222</v>
      </c>
      <c r="C248" s="9" t="s">
        <v>11</v>
      </c>
      <c r="E248" s="3">
        <v>0</v>
      </c>
      <c r="F248" s="3"/>
      <c r="G248" s="3">
        <v>5481189</v>
      </c>
      <c r="H248" s="3"/>
      <c r="I248" s="3">
        <v>0</v>
      </c>
      <c r="J248" s="3"/>
      <c r="K248" s="3">
        <v>241434</v>
      </c>
      <c r="L248" s="3"/>
      <c r="M248" s="3">
        <v>9533</v>
      </c>
      <c r="N248" s="3"/>
      <c r="O248" s="3">
        <v>1781</v>
      </c>
      <c r="P248" s="3"/>
      <c r="Q248" s="3">
        <v>327956</v>
      </c>
      <c r="R248" s="3"/>
      <c r="S248" s="3">
        <v>887</v>
      </c>
      <c r="T248" s="3"/>
      <c r="U248" s="3">
        <v>0</v>
      </c>
      <c r="V248" s="3"/>
      <c r="W248" s="3">
        <v>0</v>
      </c>
      <c r="X248" s="3"/>
      <c r="Y248" s="3">
        <v>0</v>
      </c>
      <c r="Z248" s="3"/>
      <c r="AA248" s="3">
        <v>0</v>
      </c>
      <c r="AC248" s="9">
        <f t="shared" si="4"/>
        <v>6062780</v>
      </c>
    </row>
    <row r="249" spans="1:29" s="9" customFormat="1" ht="12" hidden="1">
      <c r="A249" s="9" t="s">
        <v>312</v>
      </c>
      <c r="C249" s="9" t="s">
        <v>68</v>
      </c>
      <c r="E249" s="3">
        <v>0</v>
      </c>
      <c r="F249" s="3"/>
      <c r="G249" s="3">
        <v>0</v>
      </c>
      <c r="H249" s="3"/>
      <c r="I249" s="3">
        <v>0</v>
      </c>
      <c r="J249" s="3"/>
      <c r="K249" s="3">
        <v>0</v>
      </c>
      <c r="L249" s="3"/>
      <c r="M249" s="3">
        <v>0</v>
      </c>
      <c r="N249" s="3"/>
      <c r="O249" s="3">
        <v>0</v>
      </c>
      <c r="P249" s="3"/>
      <c r="Q249" s="3">
        <v>0</v>
      </c>
      <c r="R249" s="3"/>
      <c r="S249" s="3">
        <v>0</v>
      </c>
      <c r="T249" s="3"/>
      <c r="U249" s="3">
        <v>0</v>
      </c>
      <c r="V249" s="3"/>
      <c r="W249" s="3">
        <v>0</v>
      </c>
      <c r="X249" s="3"/>
      <c r="Y249" s="3">
        <v>0</v>
      </c>
      <c r="Z249" s="3"/>
      <c r="AA249" s="3">
        <v>0</v>
      </c>
      <c r="AC249" s="9">
        <f t="shared" si="4"/>
        <v>0</v>
      </c>
    </row>
    <row r="250" spans="1:29" s="9" customFormat="1" ht="12" hidden="1">
      <c r="A250" s="9" t="s">
        <v>313</v>
      </c>
      <c r="C250" s="9" t="s">
        <v>54</v>
      </c>
      <c r="E250" s="3">
        <v>0</v>
      </c>
      <c r="F250" s="3"/>
      <c r="G250" s="3">
        <v>0</v>
      </c>
      <c r="H250" s="3"/>
      <c r="I250" s="3">
        <v>0</v>
      </c>
      <c r="J250" s="3"/>
      <c r="K250" s="3">
        <v>0</v>
      </c>
      <c r="L250" s="3"/>
      <c r="M250" s="3">
        <v>0</v>
      </c>
      <c r="N250" s="3"/>
      <c r="O250" s="3">
        <v>0</v>
      </c>
      <c r="P250" s="3"/>
      <c r="Q250" s="3">
        <v>0</v>
      </c>
      <c r="R250" s="3"/>
      <c r="S250" s="3">
        <v>0</v>
      </c>
      <c r="T250" s="3"/>
      <c r="U250" s="3">
        <v>0</v>
      </c>
      <c r="V250" s="3"/>
      <c r="W250" s="3">
        <v>0</v>
      </c>
      <c r="X250" s="3"/>
      <c r="Y250" s="3">
        <v>0</v>
      </c>
      <c r="Z250" s="3"/>
      <c r="AA250" s="3">
        <v>0</v>
      </c>
      <c r="AC250" s="9">
        <f t="shared" si="4"/>
        <v>0</v>
      </c>
    </row>
    <row r="251" spans="1:29" s="9" customFormat="1" ht="12" hidden="1">
      <c r="A251" s="9" t="s">
        <v>314</v>
      </c>
      <c r="C251" s="9" t="s">
        <v>68</v>
      </c>
      <c r="E251" s="3">
        <v>0</v>
      </c>
      <c r="F251" s="3"/>
      <c r="G251" s="3">
        <v>0</v>
      </c>
      <c r="H251" s="3"/>
      <c r="I251" s="3">
        <v>0</v>
      </c>
      <c r="J251" s="3"/>
      <c r="K251" s="3">
        <v>0</v>
      </c>
      <c r="L251" s="3"/>
      <c r="M251" s="3">
        <v>0</v>
      </c>
      <c r="N251" s="3"/>
      <c r="O251" s="3">
        <v>0</v>
      </c>
      <c r="P251" s="3"/>
      <c r="Q251" s="3">
        <v>0</v>
      </c>
      <c r="R251" s="3"/>
      <c r="S251" s="3">
        <v>0</v>
      </c>
      <c r="T251" s="3"/>
      <c r="U251" s="3">
        <v>0</v>
      </c>
      <c r="V251" s="3"/>
      <c r="W251" s="3">
        <v>0</v>
      </c>
      <c r="X251" s="3"/>
      <c r="Y251" s="3">
        <v>0</v>
      </c>
      <c r="Z251" s="3"/>
      <c r="AA251" s="3">
        <v>0</v>
      </c>
      <c r="AC251" s="9">
        <f t="shared" si="4"/>
        <v>0</v>
      </c>
    </row>
    <row r="252" spans="1:29" s="9" customFormat="1" ht="12" hidden="1">
      <c r="A252" s="9" t="s">
        <v>42</v>
      </c>
      <c r="C252" s="9" t="s">
        <v>16</v>
      </c>
      <c r="E252" s="3">
        <v>0</v>
      </c>
      <c r="F252" s="3"/>
      <c r="G252" s="3">
        <v>0</v>
      </c>
      <c r="H252" s="3"/>
      <c r="I252" s="3">
        <v>0</v>
      </c>
      <c r="J252" s="3"/>
      <c r="K252" s="3">
        <v>0</v>
      </c>
      <c r="L252" s="3"/>
      <c r="M252" s="3">
        <v>0</v>
      </c>
      <c r="N252" s="3"/>
      <c r="O252" s="3">
        <v>0</v>
      </c>
      <c r="P252" s="3"/>
      <c r="Q252" s="3">
        <v>0</v>
      </c>
      <c r="R252" s="3"/>
      <c r="S252" s="3">
        <v>0</v>
      </c>
      <c r="T252" s="3"/>
      <c r="U252" s="3">
        <v>0</v>
      </c>
      <c r="V252" s="3"/>
      <c r="W252" s="3">
        <v>0</v>
      </c>
      <c r="X252" s="3"/>
      <c r="Y252" s="3">
        <v>0</v>
      </c>
      <c r="Z252" s="3"/>
      <c r="AA252" s="3">
        <v>0</v>
      </c>
      <c r="AC252" s="9">
        <f t="shared" si="4"/>
        <v>0</v>
      </c>
    </row>
    <row r="253" spans="1:62" s="9" customFormat="1" ht="12">
      <c r="A253" s="38" t="s">
        <v>223</v>
      </c>
      <c r="B253" s="38"/>
      <c r="C253" s="38" t="s">
        <v>182</v>
      </c>
      <c r="D253" s="38"/>
      <c r="E253" s="38">
        <v>354274.77</v>
      </c>
      <c r="F253" s="38"/>
      <c r="G253" s="38">
        <v>419552.53</v>
      </c>
      <c r="H253" s="38"/>
      <c r="I253" s="38">
        <v>25525.65</v>
      </c>
      <c r="J253" s="38"/>
      <c r="K253" s="38">
        <v>17785.23</v>
      </c>
      <c r="L253" s="38"/>
      <c r="M253" s="38">
        <v>690</v>
      </c>
      <c r="N253" s="38"/>
      <c r="O253" s="38">
        <v>1240.7</v>
      </c>
      <c r="P253" s="38"/>
      <c r="Q253" s="38">
        <v>37628.75</v>
      </c>
      <c r="R253" s="38"/>
      <c r="S253" s="38">
        <v>0</v>
      </c>
      <c r="T253" s="38"/>
      <c r="U253" s="38">
        <v>0</v>
      </c>
      <c r="V253" s="38"/>
      <c r="W253" s="38">
        <v>0</v>
      </c>
      <c r="X253" s="38"/>
      <c r="Y253" s="38">
        <v>0</v>
      </c>
      <c r="Z253" s="38"/>
      <c r="AA253" s="38">
        <v>0</v>
      </c>
      <c r="AB253" s="38"/>
      <c r="AC253" s="9">
        <f t="shared" si="4"/>
        <v>856697.63</v>
      </c>
      <c r="AD253" s="39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</row>
    <row r="254" spans="1:62" s="9" customFormat="1" ht="12">
      <c r="A254" s="38" t="s">
        <v>224</v>
      </c>
      <c r="B254" s="38"/>
      <c r="C254" s="38" t="s">
        <v>56</v>
      </c>
      <c r="D254" s="38"/>
      <c r="E254" s="38">
        <v>0</v>
      </c>
      <c r="F254" s="38"/>
      <c r="G254" s="38">
        <v>425860.06</v>
      </c>
      <c r="H254" s="38"/>
      <c r="I254" s="38">
        <v>0</v>
      </c>
      <c r="J254" s="38"/>
      <c r="K254" s="38">
        <v>10381.87</v>
      </c>
      <c r="L254" s="38"/>
      <c r="M254" s="38">
        <v>0</v>
      </c>
      <c r="N254" s="38"/>
      <c r="O254" s="38">
        <v>2335</v>
      </c>
      <c r="P254" s="38"/>
      <c r="Q254" s="38">
        <v>13868.92</v>
      </c>
      <c r="R254" s="38"/>
      <c r="S254" s="38">
        <v>9853.98</v>
      </c>
      <c r="T254" s="38"/>
      <c r="U254" s="38">
        <v>0</v>
      </c>
      <c r="V254" s="38"/>
      <c r="W254" s="38">
        <v>0</v>
      </c>
      <c r="X254" s="38"/>
      <c r="Y254" s="38">
        <v>0</v>
      </c>
      <c r="Z254" s="38"/>
      <c r="AA254" s="38">
        <v>0</v>
      </c>
      <c r="AB254" s="38"/>
      <c r="AC254" s="9">
        <f t="shared" si="4"/>
        <v>462299.82999999996</v>
      </c>
      <c r="AD254" s="39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</row>
    <row r="255" spans="1:62" s="9" customFormat="1" ht="12">
      <c r="A255" s="38" t="s">
        <v>225</v>
      </c>
      <c r="B255" s="38"/>
      <c r="C255" s="38" t="s">
        <v>26</v>
      </c>
      <c r="D255" s="38"/>
      <c r="E255" s="38">
        <v>0</v>
      </c>
      <c r="F255" s="38"/>
      <c r="G255" s="38">
        <v>831944.7</v>
      </c>
      <c r="H255" s="38"/>
      <c r="I255" s="38">
        <v>0</v>
      </c>
      <c r="J255" s="38"/>
      <c r="K255" s="38">
        <v>23886.55</v>
      </c>
      <c r="L255" s="38"/>
      <c r="M255" s="38">
        <v>0</v>
      </c>
      <c r="N255" s="38"/>
      <c r="O255" s="38">
        <v>7763.59</v>
      </c>
      <c r="P255" s="38"/>
      <c r="Q255" s="38">
        <v>7470.24</v>
      </c>
      <c r="R255" s="38"/>
      <c r="S255" s="38">
        <v>273.75</v>
      </c>
      <c r="T255" s="38"/>
      <c r="U255" s="38">
        <v>0</v>
      </c>
      <c r="V255" s="38"/>
      <c r="W255" s="38">
        <v>0</v>
      </c>
      <c r="X255" s="38"/>
      <c r="Y255" s="38">
        <v>0</v>
      </c>
      <c r="Z255" s="38"/>
      <c r="AA255" s="38">
        <v>0</v>
      </c>
      <c r="AB255" s="38"/>
      <c r="AC255" s="9">
        <f t="shared" si="4"/>
        <v>871338.83</v>
      </c>
      <c r="AD255" s="39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</row>
    <row r="256" spans="1:62" s="9" customFormat="1" ht="12">
      <c r="A256" s="38" t="s">
        <v>226</v>
      </c>
      <c r="B256" s="38"/>
      <c r="C256" s="38" t="s">
        <v>66</v>
      </c>
      <c r="D256" s="38"/>
      <c r="E256" s="38">
        <v>0</v>
      </c>
      <c r="F256" s="38"/>
      <c r="G256" s="38">
        <v>242446.68</v>
      </c>
      <c r="H256" s="38"/>
      <c r="I256" s="38">
        <v>0</v>
      </c>
      <c r="J256" s="38"/>
      <c r="K256" s="38">
        <v>9218.63</v>
      </c>
      <c r="L256" s="38"/>
      <c r="M256" s="38">
        <v>0</v>
      </c>
      <c r="N256" s="38"/>
      <c r="O256" s="38">
        <v>19699.83</v>
      </c>
      <c r="P256" s="38"/>
      <c r="Q256" s="38">
        <v>1150.72</v>
      </c>
      <c r="R256" s="38"/>
      <c r="S256" s="38">
        <v>427.77</v>
      </c>
      <c r="T256" s="38"/>
      <c r="U256" s="38">
        <v>0</v>
      </c>
      <c r="V256" s="38"/>
      <c r="W256" s="38">
        <v>0</v>
      </c>
      <c r="X256" s="38"/>
      <c r="Y256" s="38">
        <v>0</v>
      </c>
      <c r="Z256" s="38"/>
      <c r="AA256" s="38">
        <v>0</v>
      </c>
      <c r="AB256" s="38"/>
      <c r="AC256" s="9">
        <f t="shared" si="4"/>
        <v>272943.63</v>
      </c>
      <c r="AD256" s="39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</row>
    <row r="257" spans="1:29" s="9" customFormat="1" ht="12" hidden="1">
      <c r="A257" s="9" t="s">
        <v>318</v>
      </c>
      <c r="C257" s="9" t="s">
        <v>72</v>
      </c>
      <c r="E257" s="3">
        <v>0</v>
      </c>
      <c r="F257" s="3"/>
      <c r="G257" s="3">
        <v>0</v>
      </c>
      <c r="H257" s="3"/>
      <c r="I257" s="3">
        <v>0</v>
      </c>
      <c r="J257" s="3"/>
      <c r="K257" s="3">
        <v>0</v>
      </c>
      <c r="L257" s="3"/>
      <c r="M257" s="3">
        <v>0</v>
      </c>
      <c r="N257" s="3"/>
      <c r="O257" s="3">
        <v>0</v>
      </c>
      <c r="P257" s="3"/>
      <c r="Q257" s="3">
        <v>0</v>
      </c>
      <c r="R257" s="3"/>
      <c r="S257" s="3">
        <v>0</v>
      </c>
      <c r="T257" s="3"/>
      <c r="U257" s="3">
        <v>0</v>
      </c>
      <c r="V257" s="3"/>
      <c r="W257" s="3">
        <v>0</v>
      </c>
      <c r="X257" s="3"/>
      <c r="Y257" s="3">
        <v>0</v>
      </c>
      <c r="Z257" s="3"/>
      <c r="AA257" s="3">
        <v>0</v>
      </c>
      <c r="AC257" s="9">
        <f t="shared" si="4"/>
        <v>0</v>
      </c>
    </row>
    <row r="258" spans="1:62" s="9" customFormat="1" ht="12">
      <c r="A258" s="38" t="s">
        <v>540</v>
      </c>
      <c r="B258" s="38"/>
      <c r="C258" s="38" t="s">
        <v>67</v>
      </c>
      <c r="D258" s="38"/>
      <c r="E258" s="38">
        <v>0</v>
      </c>
      <c r="F258" s="38"/>
      <c r="G258" s="38">
        <v>568233.15</v>
      </c>
      <c r="H258" s="38"/>
      <c r="I258" s="38">
        <v>0</v>
      </c>
      <c r="J258" s="38"/>
      <c r="K258" s="38">
        <v>16751.22</v>
      </c>
      <c r="L258" s="38"/>
      <c r="M258" s="38">
        <v>0</v>
      </c>
      <c r="N258" s="38"/>
      <c r="O258" s="38">
        <v>60.97</v>
      </c>
      <c r="P258" s="38"/>
      <c r="Q258" s="38">
        <v>1313.96</v>
      </c>
      <c r="R258" s="38"/>
      <c r="S258" s="38">
        <v>6696.48</v>
      </c>
      <c r="T258" s="38"/>
      <c r="U258" s="38">
        <v>0</v>
      </c>
      <c r="V258" s="38"/>
      <c r="W258" s="38">
        <v>0</v>
      </c>
      <c r="X258" s="38"/>
      <c r="Y258" s="38">
        <v>0</v>
      </c>
      <c r="Z258" s="38"/>
      <c r="AA258" s="38">
        <v>0</v>
      </c>
      <c r="AB258" s="38"/>
      <c r="AC258" s="9">
        <f t="shared" si="4"/>
        <v>593055.7799999999</v>
      </c>
      <c r="AD258" s="39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</row>
    <row r="259" spans="1:29" s="9" customFormat="1" ht="12" hidden="1">
      <c r="A259" s="9" t="s">
        <v>320</v>
      </c>
      <c r="C259" s="9" t="s">
        <v>84</v>
      </c>
      <c r="E259" s="3">
        <v>0</v>
      </c>
      <c r="F259" s="3"/>
      <c r="G259" s="3">
        <v>0</v>
      </c>
      <c r="H259" s="3"/>
      <c r="I259" s="3">
        <v>0</v>
      </c>
      <c r="J259" s="3"/>
      <c r="K259" s="3">
        <v>0</v>
      </c>
      <c r="L259" s="3"/>
      <c r="M259" s="3">
        <v>0</v>
      </c>
      <c r="N259" s="3"/>
      <c r="O259" s="3">
        <v>0</v>
      </c>
      <c r="P259" s="3"/>
      <c r="Q259" s="3">
        <v>0</v>
      </c>
      <c r="R259" s="3"/>
      <c r="S259" s="3">
        <v>0</v>
      </c>
      <c r="T259" s="3"/>
      <c r="U259" s="3">
        <v>0</v>
      </c>
      <c r="V259" s="3"/>
      <c r="W259" s="3">
        <v>0</v>
      </c>
      <c r="X259" s="3"/>
      <c r="Y259" s="3">
        <v>0</v>
      </c>
      <c r="Z259" s="3"/>
      <c r="AA259" s="3">
        <v>0</v>
      </c>
      <c r="AC259" s="9">
        <f t="shared" si="4"/>
        <v>0</v>
      </c>
    </row>
    <row r="260" spans="1:29" s="9" customFormat="1" ht="12" hidden="1">
      <c r="A260" s="9" t="s">
        <v>368</v>
      </c>
      <c r="C260" s="9" t="s">
        <v>73</v>
      </c>
      <c r="E260" s="3">
        <v>0</v>
      </c>
      <c r="F260" s="3"/>
      <c r="G260" s="3">
        <v>0</v>
      </c>
      <c r="H260" s="3"/>
      <c r="I260" s="3">
        <v>0</v>
      </c>
      <c r="J260" s="3"/>
      <c r="K260" s="3">
        <v>0</v>
      </c>
      <c r="L260" s="3"/>
      <c r="M260" s="3">
        <v>0</v>
      </c>
      <c r="N260" s="3"/>
      <c r="O260" s="3">
        <v>0</v>
      </c>
      <c r="P260" s="3"/>
      <c r="Q260" s="3">
        <v>0</v>
      </c>
      <c r="R260" s="3"/>
      <c r="S260" s="3">
        <v>0</v>
      </c>
      <c r="T260" s="3"/>
      <c r="U260" s="3">
        <v>0</v>
      </c>
      <c r="V260" s="3"/>
      <c r="W260" s="3">
        <v>0</v>
      </c>
      <c r="X260" s="3"/>
      <c r="Y260" s="3">
        <v>0</v>
      </c>
      <c r="Z260" s="3"/>
      <c r="AA260" s="3">
        <v>0</v>
      </c>
      <c r="AC260" s="9">
        <f t="shared" si="4"/>
        <v>0</v>
      </c>
    </row>
    <row r="261" spans="1:29" s="9" customFormat="1" ht="12">
      <c r="A261" s="9" t="s">
        <v>228</v>
      </c>
      <c r="C261" s="9" t="s">
        <v>95</v>
      </c>
      <c r="E261" s="3">
        <v>122097</v>
      </c>
      <c r="F261" s="3"/>
      <c r="G261" s="3">
        <v>0</v>
      </c>
      <c r="H261" s="3"/>
      <c r="I261" s="3">
        <v>0</v>
      </c>
      <c r="J261" s="3"/>
      <c r="K261" s="3">
        <v>3010</v>
      </c>
      <c r="L261" s="3"/>
      <c r="M261" s="3">
        <v>0</v>
      </c>
      <c r="N261" s="3"/>
      <c r="O261" s="3">
        <v>2387</v>
      </c>
      <c r="P261" s="3"/>
      <c r="Q261" s="3">
        <v>8187</v>
      </c>
      <c r="R261" s="3"/>
      <c r="S261" s="3">
        <v>2050</v>
      </c>
      <c r="T261" s="3"/>
      <c r="U261" s="3">
        <v>0</v>
      </c>
      <c r="V261" s="3"/>
      <c r="W261" s="3">
        <v>0</v>
      </c>
      <c r="X261" s="3"/>
      <c r="Y261" s="3">
        <v>0</v>
      </c>
      <c r="Z261" s="3"/>
      <c r="AA261" s="3">
        <v>0</v>
      </c>
      <c r="AC261" s="9">
        <f t="shared" si="4"/>
        <v>137731</v>
      </c>
    </row>
    <row r="262" spans="1:29" s="9" customFormat="1" ht="12" hidden="1">
      <c r="A262" s="9" t="s">
        <v>323</v>
      </c>
      <c r="C262" s="9" t="s">
        <v>58</v>
      </c>
      <c r="E262" s="3">
        <v>0</v>
      </c>
      <c r="F262" s="3"/>
      <c r="G262" s="3">
        <v>0</v>
      </c>
      <c r="H262" s="3"/>
      <c r="I262" s="3">
        <v>0</v>
      </c>
      <c r="J262" s="3"/>
      <c r="K262" s="3">
        <v>0</v>
      </c>
      <c r="L262" s="3"/>
      <c r="M262" s="3">
        <v>0</v>
      </c>
      <c r="N262" s="3"/>
      <c r="O262" s="3">
        <v>0</v>
      </c>
      <c r="P262" s="3"/>
      <c r="Q262" s="3">
        <v>0</v>
      </c>
      <c r="R262" s="3"/>
      <c r="S262" s="3">
        <v>0</v>
      </c>
      <c r="T262" s="3"/>
      <c r="U262" s="3">
        <v>0</v>
      </c>
      <c r="V262" s="3"/>
      <c r="W262" s="3">
        <v>0</v>
      </c>
      <c r="X262" s="3"/>
      <c r="Y262" s="3">
        <v>0</v>
      </c>
      <c r="Z262" s="3"/>
      <c r="AA262" s="3">
        <v>0</v>
      </c>
      <c r="AC262" s="9">
        <f t="shared" si="4"/>
        <v>0</v>
      </c>
    </row>
    <row r="263" spans="1:29" s="9" customFormat="1" ht="12">
      <c r="A263" s="9" t="s">
        <v>229</v>
      </c>
      <c r="C263" s="9" t="s">
        <v>230</v>
      </c>
      <c r="E263" s="3">
        <v>0</v>
      </c>
      <c r="F263" s="3"/>
      <c r="G263" s="3">
        <v>271350</v>
      </c>
      <c r="H263" s="3"/>
      <c r="I263" s="3">
        <v>0</v>
      </c>
      <c r="J263" s="3"/>
      <c r="K263" s="3">
        <v>9693</v>
      </c>
      <c r="L263" s="3"/>
      <c r="M263" s="3">
        <v>0</v>
      </c>
      <c r="N263" s="3"/>
      <c r="O263" s="3">
        <v>1685</v>
      </c>
      <c r="P263" s="3"/>
      <c r="Q263" s="3">
        <v>32349</v>
      </c>
      <c r="R263" s="3"/>
      <c r="S263" s="3">
        <v>2090</v>
      </c>
      <c r="T263" s="3"/>
      <c r="U263" s="3">
        <v>0</v>
      </c>
      <c r="V263" s="3"/>
      <c r="W263" s="3">
        <v>0</v>
      </c>
      <c r="X263" s="3"/>
      <c r="Y263" s="3">
        <v>0</v>
      </c>
      <c r="Z263" s="3"/>
      <c r="AA263" s="3">
        <v>0</v>
      </c>
      <c r="AC263" s="9">
        <f t="shared" si="4"/>
        <v>317167</v>
      </c>
    </row>
    <row r="264" spans="1:29" s="9" customFormat="1" ht="12">
      <c r="A264" s="9" t="s">
        <v>231</v>
      </c>
      <c r="C264" s="9" t="s">
        <v>16</v>
      </c>
      <c r="E264" s="3">
        <v>1048400</v>
      </c>
      <c r="F264" s="3"/>
      <c r="G264" s="3">
        <v>1656451</v>
      </c>
      <c r="H264" s="3"/>
      <c r="I264" s="3">
        <v>175965</v>
      </c>
      <c r="J264" s="3"/>
      <c r="K264" s="3">
        <v>76442</v>
      </c>
      <c r="L264" s="3"/>
      <c r="M264" s="3">
        <v>0</v>
      </c>
      <c r="N264" s="3"/>
      <c r="O264" s="3">
        <v>6000</v>
      </c>
      <c r="P264" s="3"/>
      <c r="Q264" s="3">
        <v>32189</v>
      </c>
      <c r="R264" s="3"/>
      <c r="S264" s="3">
        <v>9018</v>
      </c>
      <c r="T264" s="3"/>
      <c r="U264" s="3">
        <v>55</v>
      </c>
      <c r="V264" s="3"/>
      <c r="W264" s="3">
        <v>0</v>
      </c>
      <c r="X264" s="3"/>
      <c r="Y264" s="3">
        <v>0</v>
      </c>
      <c r="Z264" s="3"/>
      <c r="AA264" s="3">
        <v>0</v>
      </c>
      <c r="AC264" s="9">
        <f t="shared" si="4"/>
        <v>3004520</v>
      </c>
    </row>
    <row r="265" spans="1:62" s="3" customFormat="1" ht="12">
      <c r="A265" s="9" t="s">
        <v>232</v>
      </c>
      <c r="B265" s="9"/>
      <c r="C265" s="9" t="s">
        <v>71</v>
      </c>
      <c r="D265" s="9"/>
      <c r="E265" s="3">
        <v>0</v>
      </c>
      <c r="G265" s="3">
        <v>282717</v>
      </c>
      <c r="I265" s="3">
        <v>0</v>
      </c>
      <c r="K265" s="3">
        <v>11616</v>
      </c>
      <c r="M265" s="3">
        <v>7000</v>
      </c>
      <c r="O265" s="3">
        <v>3141</v>
      </c>
      <c r="Q265" s="3">
        <v>26040</v>
      </c>
      <c r="S265" s="3">
        <v>1089</v>
      </c>
      <c r="U265" s="3">
        <v>0</v>
      </c>
      <c r="W265" s="3">
        <v>0</v>
      </c>
      <c r="Y265" s="3">
        <v>0</v>
      </c>
      <c r="AA265" s="3">
        <v>0</v>
      </c>
      <c r="AB265" s="9"/>
      <c r="AC265" s="9">
        <f t="shared" si="4"/>
        <v>331603</v>
      </c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</row>
    <row r="266" spans="1:62" s="3" customFormat="1" ht="12">
      <c r="A266" s="38" t="s">
        <v>233</v>
      </c>
      <c r="B266" s="38"/>
      <c r="C266" s="38" t="s">
        <v>13</v>
      </c>
      <c r="D266" s="38"/>
      <c r="E266" s="38">
        <v>0</v>
      </c>
      <c r="F266" s="38"/>
      <c r="G266" s="38">
        <v>231733.2</v>
      </c>
      <c r="H266" s="38"/>
      <c r="I266" s="38">
        <v>0</v>
      </c>
      <c r="J266" s="38"/>
      <c r="K266" s="38">
        <v>4914.98</v>
      </c>
      <c r="L266" s="38"/>
      <c r="M266" s="38">
        <v>0</v>
      </c>
      <c r="N266" s="38"/>
      <c r="O266" s="38">
        <v>5966.85</v>
      </c>
      <c r="P266" s="38"/>
      <c r="Q266" s="38">
        <v>11723.43</v>
      </c>
      <c r="R266" s="38"/>
      <c r="S266" s="38">
        <v>48293.38</v>
      </c>
      <c r="T266" s="38"/>
      <c r="U266" s="38">
        <v>0</v>
      </c>
      <c r="V266" s="38"/>
      <c r="W266" s="38">
        <v>0</v>
      </c>
      <c r="X266" s="38"/>
      <c r="Y266" s="38">
        <v>0</v>
      </c>
      <c r="Z266" s="38"/>
      <c r="AA266" s="38">
        <v>2230.36</v>
      </c>
      <c r="AB266" s="38"/>
      <c r="AC266" s="9">
        <f t="shared" si="4"/>
        <v>304862.2</v>
      </c>
      <c r="AD266" s="39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</row>
    <row r="267" spans="1:62" s="3" customFormat="1" ht="12">
      <c r="A267" s="9" t="s">
        <v>487</v>
      </c>
      <c r="B267" s="9"/>
      <c r="C267" s="9" t="s">
        <v>17</v>
      </c>
      <c r="D267" s="9"/>
      <c r="E267" s="3">
        <v>171801</v>
      </c>
      <c r="G267" s="3">
        <v>0</v>
      </c>
      <c r="I267" s="3">
        <v>1641510</v>
      </c>
      <c r="K267" s="3">
        <v>0</v>
      </c>
      <c r="M267" s="3">
        <v>40302</v>
      </c>
      <c r="O267" s="3">
        <v>0</v>
      </c>
      <c r="Q267" s="3">
        <v>43864</v>
      </c>
      <c r="S267" s="3">
        <v>14140</v>
      </c>
      <c r="U267" s="3">
        <v>0</v>
      </c>
      <c r="W267" s="3">
        <v>0</v>
      </c>
      <c r="Y267" s="3">
        <v>0</v>
      </c>
      <c r="AA267" s="3">
        <v>0</v>
      </c>
      <c r="AB267" s="9"/>
      <c r="AC267" s="9">
        <f t="shared" si="4"/>
        <v>1911617</v>
      </c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</row>
    <row r="268" spans="1:62" s="3" customFormat="1" ht="12">
      <c r="A268" s="9" t="s">
        <v>234</v>
      </c>
      <c r="B268" s="9"/>
      <c r="C268" s="9" t="s">
        <v>235</v>
      </c>
      <c r="D268" s="9"/>
      <c r="E268" s="3">
        <v>0</v>
      </c>
      <c r="G268" s="3">
        <v>3147987</v>
      </c>
      <c r="I268" s="3">
        <v>0</v>
      </c>
      <c r="K268" s="3">
        <v>112375</v>
      </c>
      <c r="M268" s="3">
        <v>0</v>
      </c>
      <c r="O268" s="3">
        <v>87110</v>
      </c>
      <c r="Q268" s="3">
        <v>39960</v>
      </c>
      <c r="S268" s="3">
        <f>8125+11606</f>
        <v>19731</v>
      </c>
      <c r="U268" s="3">
        <v>0</v>
      </c>
      <c r="W268" s="3">
        <v>0</v>
      </c>
      <c r="Y268" s="3">
        <v>0</v>
      </c>
      <c r="AA268" s="3">
        <v>0</v>
      </c>
      <c r="AB268" s="9"/>
      <c r="AC268" s="9">
        <f t="shared" si="4"/>
        <v>3407163</v>
      </c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</row>
    <row r="269" spans="1:62" s="3" customFormat="1" ht="12">
      <c r="A269" s="9" t="s">
        <v>358</v>
      </c>
      <c r="B269" s="9"/>
      <c r="C269" s="9" t="s">
        <v>63</v>
      </c>
      <c r="D269" s="9"/>
      <c r="E269" s="3">
        <v>229168</v>
      </c>
      <c r="G269" s="3">
        <v>554433</v>
      </c>
      <c r="I269" s="3">
        <v>0</v>
      </c>
      <c r="K269" s="3">
        <v>13090</v>
      </c>
      <c r="M269" s="3">
        <v>0</v>
      </c>
      <c r="O269" s="3">
        <v>12460</v>
      </c>
      <c r="Q269" s="3">
        <v>46100</v>
      </c>
      <c r="S269" s="3">
        <v>5526</v>
      </c>
      <c r="U269" s="3">
        <v>0</v>
      </c>
      <c r="W269" s="3">
        <v>0</v>
      </c>
      <c r="Y269" s="3">
        <v>0</v>
      </c>
      <c r="AA269" s="3">
        <v>0</v>
      </c>
      <c r="AB269" s="9"/>
      <c r="AC269" s="9">
        <f t="shared" si="4"/>
        <v>860777</v>
      </c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</row>
    <row r="270" spans="1:62" s="3" customFormat="1" ht="12">
      <c r="A270" s="38" t="s">
        <v>529</v>
      </c>
      <c r="B270" s="38"/>
      <c r="C270" s="38" t="s">
        <v>237</v>
      </c>
      <c r="D270" s="38"/>
      <c r="E270" s="38">
        <v>0</v>
      </c>
      <c r="F270" s="38"/>
      <c r="G270" s="38">
        <v>2208955.85</v>
      </c>
      <c r="H270" s="38"/>
      <c r="I270" s="38">
        <v>0</v>
      </c>
      <c r="J270" s="38"/>
      <c r="K270" s="38">
        <v>34107.2</v>
      </c>
      <c r="L270" s="38"/>
      <c r="M270" s="38">
        <v>0</v>
      </c>
      <c r="N270" s="38"/>
      <c r="O270" s="38">
        <v>6871</v>
      </c>
      <c r="P270" s="38"/>
      <c r="Q270" s="38">
        <v>4793.58</v>
      </c>
      <c r="R270" s="38"/>
      <c r="S270" s="38">
        <v>29385.59</v>
      </c>
      <c r="T270" s="38"/>
      <c r="U270" s="38">
        <v>0</v>
      </c>
      <c r="V270" s="38"/>
      <c r="W270" s="38">
        <v>3367.4</v>
      </c>
      <c r="X270" s="38"/>
      <c r="Y270" s="38">
        <v>0</v>
      </c>
      <c r="Z270" s="38"/>
      <c r="AA270" s="38">
        <v>0</v>
      </c>
      <c r="AB270" s="38"/>
      <c r="AC270" s="9">
        <f t="shared" si="4"/>
        <v>2287480.62</v>
      </c>
      <c r="AD270" s="39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</row>
    <row r="271" spans="1:62" s="3" customFormat="1" ht="12">
      <c r="A271" s="9" t="s">
        <v>501</v>
      </c>
      <c r="B271" s="9"/>
      <c r="C271" s="9" t="s">
        <v>59</v>
      </c>
      <c r="D271" s="9"/>
      <c r="E271" s="3">
        <v>0</v>
      </c>
      <c r="G271" s="3">
        <v>500326</v>
      </c>
      <c r="I271" s="3">
        <v>0</v>
      </c>
      <c r="K271" s="3">
        <v>288936</v>
      </c>
      <c r="M271" s="3">
        <v>0</v>
      </c>
      <c r="O271" s="3">
        <v>0</v>
      </c>
      <c r="Q271" s="3">
        <v>25290</v>
      </c>
      <c r="S271" s="3">
        <v>270595</v>
      </c>
      <c r="U271" s="3">
        <v>0</v>
      </c>
      <c r="W271" s="3">
        <v>0</v>
      </c>
      <c r="Y271" s="3">
        <v>0</v>
      </c>
      <c r="AA271" s="3">
        <v>0</v>
      </c>
      <c r="AB271" s="9"/>
      <c r="AC271" s="9">
        <f t="shared" si="4"/>
        <v>1085147</v>
      </c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</row>
    <row r="272" spans="1:62" s="3" customFormat="1" ht="12">
      <c r="A272" s="38" t="s">
        <v>530</v>
      </c>
      <c r="B272" s="38"/>
      <c r="C272" s="38" t="s">
        <v>123</v>
      </c>
      <c r="D272" s="38"/>
      <c r="E272" s="38">
        <v>588851.02</v>
      </c>
      <c r="F272" s="38"/>
      <c r="G272" s="38">
        <v>0</v>
      </c>
      <c r="H272" s="38"/>
      <c r="I272" s="38">
        <v>0</v>
      </c>
      <c r="J272" s="38"/>
      <c r="K272" s="38">
        <v>17193.57</v>
      </c>
      <c r="L272" s="38"/>
      <c r="M272" s="38">
        <v>0</v>
      </c>
      <c r="N272" s="38"/>
      <c r="O272" s="38">
        <v>11367</v>
      </c>
      <c r="P272" s="38"/>
      <c r="Q272" s="38">
        <v>2290.27</v>
      </c>
      <c r="R272" s="38"/>
      <c r="S272" s="38">
        <v>2680.51</v>
      </c>
      <c r="T272" s="38"/>
      <c r="U272" s="38">
        <v>0</v>
      </c>
      <c r="V272" s="38"/>
      <c r="W272" s="38">
        <v>0</v>
      </c>
      <c r="X272" s="38"/>
      <c r="Y272" s="38">
        <v>0</v>
      </c>
      <c r="Z272" s="38"/>
      <c r="AA272" s="38">
        <v>0</v>
      </c>
      <c r="AB272" s="38"/>
      <c r="AC272" s="9">
        <f t="shared" si="4"/>
        <v>622382.37</v>
      </c>
      <c r="AD272" s="39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</row>
    <row r="273" spans="1:62" s="3" customFormat="1" ht="12">
      <c r="A273" s="9" t="s">
        <v>392</v>
      </c>
      <c r="B273" s="9"/>
      <c r="C273" s="9" t="s">
        <v>95</v>
      </c>
      <c r="D273" s="9"/>
      <c r="E273" s="3">
        <v>260245</v>
      </c>
      <c r="G273" s="3">
        <v>0</v>
      </c>
      <c r="I273" s="3">
        <v>0</v>
      </c>
      <c r="K273" s="3">
        <f>5617+2526</f>
        <v>8143</v>
      </c>
      <c r="M273" s="3">
        <v>0</v>
      </c>
      <c r="O273" s="3">
        <v>1571</v>
      </c>
      <c r="Q273" s="3">
        <v>20653</v>
      </c>
      <c r="S273" s="3">
        <f>2158+1752</f>
        <v>3910</v>
      </c>
      <c r="U273" s="3">
        <v>0</v>
      </c>
      <c r="W273" s="3">
        <v>0</v>
      </c>
      <c r="Y273" s="3">
        <v>0</v>
      </c>
      <c r="AA273" s="3">
        <v>0</v>
      </c>
      <c r="AB273" s="9"/>
      <c r="AC273" s="9">
        <f t="shared" si="4"/>
        <v>294522</v>
      </c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</row>
    <row r="274" spans="1:62" s="3" customFormat="1" ht="12">
      <c r="A274" s="38" t="s">
        <v>239</v>
      </c>
      <c r="B274" s="38"/>
      <c r="C274" s="38" t="s">
        <v>84</v>
      </c>
      <c r="D274" s="38"/>
      <c r="E274" s="38">
        <v>0</v>
      </c>
      <c r="F274" s="38"/>
      <c r="G274" s="38">
        <v>321873.64</v>
      </c>
      <c r="H274" s="38"/>
      <c r="I274" s="38">
        <v>0</v>
      </c>
      <c r="J274" s="38"/>
      <c r="K274" s="38">
        <v>5358.39</v>
      </c>
      <c r="L274" s="38"/>
      <c r="M274" s="38">
        <v>0</v>
      </c>
      <c r="N274" s="38"/>
      <c r="O274" s="38">
        <v>1320</v>
      </c>
      <c r="P274" s="38"/>
      <c r="Q274" s="38">
        <v>1813.05</v>
      </c>
      <c r="R274" s="38"/>
      <c r="S274" s="38">
        <v>1959.37</v>
      </c>
      <c r="T274" s="38"/>
      <c r="U274" s="38">
        <v>0</v>
      </c>
      <c r="V274" s="38"/>
      <c r="W274" s="38">
        <v>0</v>
      </c>
      <c r="X274" s="38"/>
      <c r="Y274" s="38">
        <v>0</v>
      </c>
      <c r="Z274" s="38"/>
      <c r="AA274" s="38">
        <v>0</v>
      </c>
      <c r="AB274" s="38"/>
      <c r="AC274" s="9">
        <f t="shared" si="4"/>
        <v>332324.45</v>
      </c>
      <c r="AD274" s="39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</row>
    <row r="275" spans="1:62" s="3" customFormat="1" ht="12">
      <c r="A275" s="38" t="s">
        <v>531</v>
      </c>
      <c r="B275" s="38"/>
      <c r="C275" s="38" t="s">
        <v>69</v>
      </c>
      <c r="D275" s="38"/>
      <c r="E275" s="38">
        <v>0</v>
      </c>
      <c r="F275" s="38"/>
      <c r="G275" s="38">
        <v>121675.3</v>
      </c>
      <c r="H275" s="38"/>
      <c r="I275" s="38">
        <v>0</v>
      </c>
      <c r="J275" s="38"/>
      <c r="K275" s="38">
        <v>2492.61</v>
      </c>
      <c r="L275" s="38"/>
      <c r="M275" s="38">
        <v>0</v>
      </c>
      <c r="N275" s="38"/>
      <c r="O275" s="38">
        <v>253.11</v>
      </c>
      <c r="P275" s="38"/>
      <c r="Q275" s="38">
        <v>0</v>
      </c>
      <c r="R275" s="38"/>
      <c r="S275" s="38">
        <v>7424.93</v>
      </c>
      <c r="T275" s="38"/>
      <c r="U275" s="38">
        <v>469.26</v>
      </c>
      <c r="V275" s="38"/>
      <c r="W275" s="38">
        <v>0</v>
      </c>
      <c r="X275" s="38"/>
      <c r="Y275" s="38">
        <v>0</v>
      </c>
      <c r="Z275" s="38"/>
      <c r="AA275" s="38">
        <v>0</v>
      </c>
      <c r="AB275" s="38"/>
      <c r="AC275" s="9">
        <f t="shared" si="4"/>
        <v>132315.21000000002</v>
      </c>
      <c r="AD275" s="39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</row>
    <row r="276" spans="1:62" s="3" customFormat="1" ht="12">
      <c r="A276" s="9" t="s">
        <v>502</v>
      </c>
      <c r="B276" s="9"/>
      <c r="C276" s="9" t="s">
        <v>44</v>
      </c>
      <c r="D276" s="9"/>
      <c r="E276" s="3">
        <v>0</v>
      </c>
      <c r="G276" s="3">
        <v>3112959</v>
      </c>
      <c r="I276" s="3">
        <v>0</v>
      </c>
      <c r="K276" s="3">
        <v>126131</v>
      </c>
      <c r="M276" s="3">
        <v>12477</v>
      </c>
      <c r="O276" s="3">
        <v>12123</v>
      </c>
      <c r="Q276" s="3">
        <v>16374</v>
      </c>
      <c r="S276" s="3">
        <v>60284</v>
      </c>
      <c r="U276" s="3">
        <v>0</v>
      </c>
      <c r="W276" s="3">
        <v>745000</v>
      </c>
      <c r="Y276" s="3">
        <v>0</v>
      </c>
      <c r="AA276" s="3">
        <v>0</v>
      </c>
      <c r="AB276" s="9"/>
      <c r="AC276" s="9">
        <f t="shared" si="4"/>
        <v>4085348</v>
      </c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</row>
    <row r="277" spans="1:62" s="3" customFormat="1" ht="12">
      <c r="A277" s="38" t="s">
        <v>241</v>
      </c>
      <c r="B277" s="38"/>
      <c r="C277" s="38" t="s">
        <v>27</v>
      </c>
      <c r="D277" s="38"/>
      <c r="E277" s="38">
        <v>46813.35</v>
      </c>
      <c r="F277" s="38"/>
      <c r="G277" s="38">
        <v>311764.94</v>
      </c>
      <c r="H277" s="38"/>
      <c r="I277" s="38">
        <v>7282.73</v>
      </c>
      <c r="J277" s="38"/>
      <c r="K277" s="38">
        <v>10228.35</v>
      </c>
      <c r="L277" s="38"/>
      <c r="M277" s="38">
        <v>0</v>
      </c>
      <c r="N277" s="38"/>
      <c r="O277" s="38">
        <v>230</v>
      </c>
      <c r="P277" s="38"/>
      <c r="Q277" s="38">
        <v>543.43</v>
      </c>
      <c r="R277" s="38"/>
      <c r="S277" s="38">
        <v>5261.61</v>
      </c>
      <c r="T277" s="38"/>
      <c r="U277" s="38">
        <v>655</v>
      </c>
      <c r="V277" s="38"/>
      <c r="W277" s="38">
        <v>0</v>
      </c>
      <c r="X277" s="38"/>
      <c r="Y277" s="38">
        <v>0</v>
      </c>
      <c r="Z277" s="38"/>
      <c r="AA277" s="38">
        <v>0</v>
      </c>
      <c r="AB277" s="38"/>
      <c r="AC277" s="9">
        <f t="shared" si="4"/>
        <v>382779.4099999999</v>
      </c>
      <c r="AD277" s="39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</row>
    <row r="278" spans="1:62" s="3" customFormat="1" ht="12">
      <c r="A278" s="9" t="s">
        <v>242</v>
      </c>
      <c r="B278" s="9"/>
      <c r="C278" s="9" t="s">
        <v>59</v>
      </c>
      <c r="D278" s="9"/>
      <c r="E278" s="3">
        <v>107490</v>
      </c>
      <c r="G278" s="3">
        <v>659266</v>
      </c>
      <c r="I278" s="3">
        <v>11975</v>
      </c>
      <c r="K278" s="3">
        <v>11274</v>
      </c>
      <c r="M278" s="3">
        <v>0</v>
      </c>
      <c r="O278" s="3">
        <v>1976</v>
      </c>
      <c r="Q278" s="3">
        <v>11741</v>
      </c>
      <c r="S278" s="3">
        <v>4692</v>
      </c>
      <c r="U278" s="3">
        <v>0</v>
      </c>
      <c r="W278" s="3">
        <v>0</v>
      </c>
      <c r="Y278" s="3">
        <v>0</v>
      </c>
      <c r="AA278" s="3">
        <v>0</v>
      </c>
      <c r="AB278" s="9"/>
      <c r="AC278" s="9">
        <f t="shared" si="4"/>
        <v>808414</v>
      </c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</row>
    <row r="279" spans="1:62" s="3" customFormat="1" ht="12">
      <c r="A279" s="38" t="s">
        <v>245</v>
      </c>
      <c r="B279" s="38"/>
      <c r="C279" s="38" t="s">
        <v>45</v>
      </c>
      <c r="D279" s="38"/>
      <c r="E279" s="38">
        <v>0</v>
      </c>
      <c r="F279" s="38"/>
      <c r="G279" s="38">
        <v>151564.62</v>
      </c>
      <c r="H279" s="38"/>
      <c r="I279" s="38">
        <v>0</v>
      </c>
      <c r="J279" s="38"/>
      <c r="K279" s="38">
        <v>5073.22</v>
      </c>
      <c r="L279" s="38"/>
      <c r="M279" s="38">
        <v>9000</v>
      </c>
      <c r="N279" s="38"/>
      <c r="O279" s="38">
        <v>673.33</v>
      </c>
      <c r="P279" s="38"/>
      <c r="Q279" s="38">
        <v>1687.69</v>
      </c>
      <c r="R279" s="38"/>
      <c r="S279" s="38">
        <v>17.5</v>
      </c>
      <c r="T279" s="38"/>
      <c r="U279" s="38">
        <v>1337.54</v>
      </c>
      <c r="V279" s="38"/>
      <c r="W279" s="38">
        <v>0</v>
      </c>
      <c r="X279" s="38"/>
      <c r="Y279" s="38">
        <v>0</v>
      </c>
      <c r="Z279" s="38"/>
      <c r="AA279" s="38">
        <v>0</v>
      </c>
      <c r="AB279" s="38"/>
      <c r="AC279" s="9">
        <f t="shared" si="4"/>
        <v>169353.9</v>
      </c>
      <c r="AD279" s="39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</row>
    <row r="280" spans="1:62" s="3" customFormat="1" ht="12">
      <c r="A280" s="38" t="s">
        <v>246</v>
      </c>
      <c r="B280" s="38"/>
      <c r="C280" s="38" t="s">
        <v>68</v>
      </c>
      <c r="D280" s="38"/>
      <c r="E280" s="38">
        <v>0</v>
      </c>
      <c r="F280" s="38"/>
      <c r="G280" s="38">
        <v>401086.19</v>
      </c>
      <c r="H280" s="38"/>
      <c r="I280" s="38">
        <v>0</v>
      </c>
      <c r="J280" s="38"/>
      <c r="K280" s="38">
        <v>9859.78</v>
      </c>
      <c r="L280" s="38"/>
      <c r="M280" s="38">
        <v>0</v>
      </c>
      <c r="N280" s="38"/>
      <c r="O280" s="38">
        <v>3515.48</v>
      </c>
      <c r="P280" s="38"/>
      <c r="Q280" s="38">
        <v>35398.13</v>
      </c>
      <c r="R280" s="38"/>
      <c r="S280" s="38">
        <v>2232.25</v>
      </c>
      <c r="T280" s="38"/>
      <c r="U280" s="38">
        <v>567.74</v>
      </c>
      <c r="V280" s="38"/>
      <c r="W280" s="38">
        <v>0</v>
      </c>
      <c r="X280" s="38"/>
      <c r="Y280" s="38">
        <v>0</v>
      </c>
      <c r="Z280" s="38"/>
      <c r="AA280" s="38">
        <v>0</v>
      </c>
      <c r="AB280" s="38"/>
      <c r="AC280" s="9">
        <f t="shared" si="4"/>
        <v>452659.57</v>
      </c>
      <c r="AD280" s="39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</row>
    <row r="281" spans="1:62" s="3" customFormat="1" ht="12">
      <c r="A281" s="9" t="s">
        <v>247</v>
      </c>
      <c r="B281" s="9"/>
      <c r="C281" s="9" t="s">
        <v>26</v>
      </c>
      <c r="D281" s="9"/>
      <c r="E281" s="3">
        <v>183098</v>
      </c>
      <c r="G281" s="3">
        <v>0</v>
      </c>
      <c r="I281" s="3">
        <v>1566944</v>
      </c>
      <c r="K281" s="3">
        <v>87340</v>
      </c>
      <c r="M281" s="3">
        <v>0</v>
      </c>
      <c r="O281" s="3">
        <v>790</v>
      </c>
      <c r="Q281" s="3">
        <v>41502</v>
      </c>
      <c r="S281" s="3">
        <v>2383</v>
      </c>
      <c r="U281" s="3">
        <v>0</v>
      </c>
      <c r="W281" s="3">
        <v>0</v>
      </c>
      <c r="Y281" s="3">
        <v>0</v>
      </c>
      <c r="AA281" s="3">
        <v>0</v>
      </c>
      <c r="AB281" s="9"/>
      <c r="AC281" s="9">
        <f t="shared" si="4"/>
        <v>1882057</v>
      </c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</row>
    <row r="282" spans="1:62" s="3" customFormat="1" ht="12">
      <c r="A282" s="9" t="s">
        <v>503</v>
      </c>
      <c r="B282" s="9"/>
      <c r="C282" s="9" t="s">
        <v>68</v>
      </c>
      <c r="D282" s="9"/>
      <c r="E282" s="3">
        <v>0</v>
      </c>
      <c r="G282" s="3">
        <v>0</v>
      </c>
      <c r="I282" s="3">
        <v>261109</v>
      </c>
      <c r="K282" s="3">
        <v>0</v>
      </c>
      <c r="M282" s="3">
        <v>184446</v>
      </c>
      <c r="O282" s="3">
        <v>0</v>
      </c>
      <c r="Q282" s="3">
        <v>5898</v>
      </c>
      <c r="S282" s="3">
        <v>0</v>
      </c>
      <c r="U282" s="3">
        <v>0</v>
      </c>
      <c r="W282" s="3">
        <v>0</v>
      </c>
      <c r="Y282" s="3">
        <v>0</v>
      </c>
      <c r="AA282" s="3">
        <v>0</v>
      </c>
      <c r="AB282" s="9"/>
      <c r="AC282" s="9">
        <f t="shared" si="4"/>
        <v>451453</v>
      </c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</row>
    <row r="283" spans="1:62" s="3" customFormat="1" ht="12">
      <c r="A283" s="38" t="s">
        <v>248</v>
      </c>
      <c r="B283" s="38"/>
      <c r="C283" s="38" t="s">
        <v>95</v>
      </c>
      <c r="D283" s="38"/>
      <c r="E283" s="38">
        <v>137118.92</v>
      </c>
      <c r="F283" s="38"/>
      <c r="G283" s="38">
        <v>714578.51</v>
      </c>
      <c r="H283" s="38"/>
      <c r="I283" s="38">
        <v>35896.99</v>
      </c>
      <c r="J283" s="38"/>
      <c r="K283" s="38">
        <v>28281.44</v>
      </c>
      <c r="L283" s="38"/>
      <c r="M283" s="38">
        <v>0</v>
      </c>
      <c r="N283" s="38"/>
      <c r="O283" s="38">
        <v>3278.26</v>
      </c>
      <c r="P283" s="38"/>
      <c r="Q283" s="38">
        <v>12483.87</v>
      </c>
      <c r="R283" s="38"/>
      <c r="S283" s="38">
        <v>31941.34</v>
      </c>
      <c r="T283" s="38"/>
      <c r="U283" s="38">
        <v>0</v>
      </c>
      <c r="V283" s="38"/>
      <c r="W283" s="38">
        <v>0</v>
      </c>
      <c r="X283" s="38"/>
      <c r="Y283" s="38">
        <v>0</v>
      </c>
      <c r="Z283" s="38"/>
      <c r="AA283" s="38">
        <v>0</v>
      </c>
      <c r="AB283" s="38"/>
      <c r="AC283" s="9">
        <f t="shared" si="4"/>
        <v>963579.33</v>
      </c>
      <c r="AD283" s="39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</row>
    <row r="284" spans="1:62" s="3" customFormat="1" ht="12">
      <c r="A284" s="9" t="s">
        <v>249</v>
      </c>
      <c r="B284" s="9"/>
      <c r="C284" s="9" t="s">
        <v>172</v>
      </c>
      <c r="D284" s="9"/>
      <c r="E284" s="3">
        <v>310322</v>
      </c>
      <c r="G284" s="3">
        <v>0</v>
      </c>
      <c r="I284" s="3">
        <v>0</v>
      </c>
      <c r="K284" s="3">
        <v>11994</v>
      </c>
      <c r="M284" s="3">
        <v>0</v>
      </c>
      <c r="O284" s="3">
        <v>2572</v>
      </c>
      <c r="Q284" s="3">
        <v>30355</v>
      </c>
      <c r="S284" s="3">
        <v>5304</v>
      </c>
      <c r="U284" s="3">
        <v>0</v>
      </c>
      <c r="W284" s="3">
        <v>0</v>
      </c>
      <c r="Y284" s="3">
        <v>0</v>
      </c>
      <c r="AA284" s="3">
        <v>0</v>
      </c>
      <c r="AB284" s="9"/>
      <c r="AC284" s="9">
        <f t="shared" si="4"/>
        <v>360547</v>
      </c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</row>
    <row r="285" spans="1:62" s="3" customFormat="1" ht="12">
      <c r="A285" s="9" t="s">
        <v>250</v>
      </c>
      <c r="B285" s="9"/>
      <c r="C285" s="9" t="s">
        <v>186</v>
      </c>
      <c r="D285" s="9"/>
      <c r="E285" s="3">
        <v>0</v>
      </c>
      <c r="G285" s="3">
        <v>263045</v>
      </c>
      <c r="I285" s="3">
        <v>0</v>
      </c>
      <c r="K285" s="3">
        <v>6483</v>
      </c>
      <c r="M285" s="3">
        <v>0</v>
      </c>
      <c r="O285" s="3">
        <v>1256</v>
      </c>
      <c r="Q285" s="3">
        <v>20948</v>
      </c>
      <c r="S285" s="3">
        <v>2437</v>
      </c>
      <c r="U285" s="3">
        <v>0</v>
      </c>
      <c r="W285" s="3">
        <v>0</v>
      </c>
      <c r="Y285" s="3">
        <v>0</v>
      </c>
      <c r="AA285" s="3">
        <v>0</v>
      </c>
      <c r="AB285" s="9"/>
      <c r="AC285" s="9">
        <f t="shared" si="4"/>
        <v>294169</v>
      </c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</row>
    <row r="286" spans="1:62" s="3" customFormat="1" ht="12">
      <c r="A286" s="38" t="s">
        <v>532</v>
      </c>
      <c r="B286" s="38"/>
      <c r="C286" s="38" t="s">
        <v>60</v>
      </c>
      <c r="D286" s="38"/>
      <c r="E286" s="38">
        <v>550992.04</v>
      </c>
      <c r="F286" s="38"/>
      <c r="G286" s="38">
        <v>507194.03</v>
      </c>
      <c r="H286" s="38"/>
      <c r="I286" s="38">
        <v>7335.4</v>
      </c>
      <c r="J286" s="38"/>
      <c r="K286" s="38">
        <v>31922.59</v>
      </c>
      <c r="L286" s="38"/>
      <c r="M286" s="38">
        <v>0</v>
      </c>
      <c r="N286" s="38"/>
      <c r="O286" s="38">
        <v>25937.6</v>
      </c>
      <c r="P286" s="38"/>
      <c r="Q286" s="38">
        <v>10321.85</v>
      </c>
      <c r="R286" s="38"/>
      <c r="S286" s="38">
        <v>2704.92</v>
      </c>
      <c r="T286" s="38"/>
      <c r="U286" s="38">
        <v>0</v>
      </c>
      <c r="V286" s="38"/>
      <c r="W286" s="38">
        <v>0</v>
      </c>
      <c r="X286" s="38"/>
      <c r="Y286" s="38">
        <v>0</v>
      </c>
      <c r="Z286" s="38"/>
      <c r="AA286" s="38">
        <v>0</v>
      </c>
      <c r="AB286" s="38"/>
      <c r="AC286" s="9">
        <f t="shared" si="4"/>
        <v>1136408.4300000002</v>
      </c>
      <c r="AD286" s="39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</row>
    <row r="287" spans="1:62" s="3" customFormat="1" ht="12">
      <c r="A287" s="9" t="s">
        <v>253</v>
      </c>
      <c r="B287" s="9"/>
      <c r="C287" s="9" t="s">
        <v>254</v>
      </c>
      <c r="D287" s="9"/>
      <c r="E287" s="3">
        <v>131938</v>
      </c>
      <c r="G287" s="3">
        <v>669809</v>
      </c>
      <c r="I287" s="3">
        <v>13828</v>
      </c>
      <c r="K287" s="3">
        <v>34516</v>
      </c>
      <c r="M287" s="3">
        <v>0</v>
      </c>
      <c r="O287" s="3">
        <v>12022</v>
      </c>
      <c r="Q287" s="3">
        <v>14707</v>
      </c>
      <c r="S287" s="3">
        <v>1916</v>
      </c>
      <c r="U287" s="3">
        <v>0</v>
      </c>
      <c r="W287" s="3">
        <v>0</v>
      </c>
      <c r="Y287" s="3">
        <v>0</v>
      </c>
      <c r="AA287" s="3">
        <v>0</v>
      </c>
      <c r="AB287" s="9"/>
      <c r="AC287" s="9">
        <f t="shared" si="4"/>
        <v>878736</v>
      </c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</row>
    <row r="288" spans="1:62" s="3" customFormat="1" ht="12">
      <c r="A288" s="38" t="s">
        <v>255</v>
      </c>
      <c r="B288" s="38"/>
      <c r="C288" s="38" t="s">
        <v>44</v>
      </c>
      <c r="D288" s="38"/>
      <c r="E288" s="38">
        <v>0</v>
      </c>
      <c r="F288" s="38"/>
      <c r="G288" s="38">
        <v>615060.44</v>
      </c>
      <c r="H288" s="38"/>
      <c r="I288" s="38">
        <v>0</v>
      </c>
      <c r="J288" s="38"/>
      <c r="K288" s="38">
        <v>20599.25</v>
      </c>
      <c r="L288" s="38"/>
      <c r="M288" s="38">
        <v>0</v>
      </c>
      <c r="N288" s="38"/>
      <c r="O288" s="38">
        <v>2238.95</v>
      </c>
      <c r="P288" s="38"/>
      <c r="Q288" s="38">
        <v>51043.15</v>
      </c>
      <c r="R288" s="38"/>
      <c r="S288" s="38">
        <v>2066.28</v>
      </c>
      <c r="T288" s="38"/>
      <c r="U288" s="38">
        <v>0</v>
      </c>
      <c r="V288" s="38"/>
      <c r="W288" s="38">
        <v>0</v>
      </c>
      <c r="X288" s="38"/>
      <c r="Y288" s="38">
        <v>0</v>
      </c>
      <c r="Z288" s="38"/>
      <c r="AA288" s="38">
        <v>0</v>
      </c>
      <c r="AB288" s="38"/>
      <c r="AC288" s="9">
        <f t="shared" si="4"/>
        <v>691008.07</v>
      </c>
      <c r="AD288" s="39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</row>
    <row r="289" spans="1:62" s="3" customFormat="1" ht="12">
      <c r="A289" s="38" t="s">
        <v>533</v>
      </c>
      <c r="B289" s="38"/>
      <c r="C289" s="38" t="s">
        <v>63</v>
      </c>
      <c r="D289" s="38"/>
      <c r="E289" s="38">
        <v>18803.55</v>
      </c>
      <c r="F289" s="38"/>
      <c r="G289" s="38">
        <v>233617.23</v>
      </c>
      <c r="H289" s="38"/>
      <c r="I289" s="38">
        <v>0</v>
      </c>
      <c r="J289" s="38"/>
      <c r="K289" s="38">
        <v>4082.36</v>
      </c>
      <c r="L289" s="38"/>
      <c r="M289" s="38">
        <v>0</v>
      </c>
      <c r="N289" s="38"/>
      <c r="O289" s="38">
        <v>1902.21</v>
      </c>
      <c r="P289" s="38"/>
      <c r="Q289" s="38">
        <v>7056.28</v>
      </c>
      <c r="R289" s="38"/>
      <c r="S289" s="38">
        <v>1661.67</v>
      </c>
      <c r="T289" s="38"/>
      <c r="U289" s="38">
        <v>161.8</v>
      </c>
      <c r="V289" s="38"/>
      <c r="W289" s="38">
        <v>0</v>
      </c>
      <c r="X289" s="38"/>
      <c r="Y289" s="38">
        <v>0</v>
      </c>
      <c r="Z289" s="38"/>
      <c r="AA289" s="38">
        <v>0</v>
      </c>
      <c r="AB289" s="38"/>
      <c r="AC289" s="9">
        <f t="shared" si="4"/>
        <v>267285.1</v>
      </c>
      <c r="AD289" s="39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</row>
    <row r="290" spans="1:62" s="3" customFormat="1" ht="12">
      <c r="A290" s="9" t="s">
        <v>257</v>
      </c>
      <c r="B290" s="9"/>
      <c r="C290" s="9" t="s">
        <v>258</v>
      </c>
      <c r="D290" s="9"/>
      <c r="E290" s="3">
        <v>0</v>
      </c>
      <c r="G290" s="3">
        <v>752525</v>
      </c>
      <c r="I290" s="3">
        <v>0</v>
      </c>
      <c r="K290" s="3">
        <v>25926</v>
      </c>
      <c r="M290" s="3">
        <v>0</v>
      </c>
      <c r="O290" s="3">
        <v>3388</v>
      </c>
      <c r="Q290" s="3">
        <v>38409</v>
      </c>
      <c r="S290" s="3">
        <v>2846</v>
      </c>
      <c r="U290" s="3">
        <v>0</v>
      </c>
      <c r="W290" s="3">
        <v>0</v>
      </c>
      <c r="Y290" s="3">
        <v>0</v>
      </c>
      <c r="AA290" s="3">
        <v>0</v>
      </c>
      <c r="AB290" s="9"/>
      <c r="AC290" s="9">
        <f t="shared" si="4"/>
        <v>823094</v>
      </c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</row>
    <row r="291" spans="1:62" s="3" customFormat="1" ht="12">
      <c r="A291" s="38" t="s">
        <v>534</v>
      </c>
      <c r="B291" s="38"/>
      <c r="C291" s="38" t="s">
        <v>68</v>
      </c>
      <c r="D291" s="38"/>
      <c r="E291" s="38">
        <v>0</v>
      </c>
      <c r="F291" s="38"/>
      <c r="G291" s="38">
        <v>223484.89</v>
      </c>
      <c r="H291" s="38"/>
      <c r="I291" s="38">
        <v>0</v>
      </c>
      <c r="J291" s="38"/>
      <c r="K291" s="38">
        <v>8566.38</v>
      </c>
      <c r="L291" s="38"/>
      <c r="M291" s="38">
        <v>0</v>
      </c>
      <c r="N291" s="38"/>
      <c r="O291" s="38">
        <v>2530</v>
      </c>
      <c r="P291" s="38"/>
      <c r="Q291" s="38">
        <v>17218.36</v>
      </c>
      <c r="R291" s="38"/>
      <c r="S291" s="38">
        <v>4505.71</v>
      </c>
      <c r="T291" s="38"/>
      <c r="U291" s="38">
        <v>0</v>
      </c>
      <c r="V291" s="38"/>
      <c r="W291" s="38">
        <v>0</v>
      </c>
      <c r="X291" s="38"/>
      <c r="Y291" s="38">
        <v>0</v>
      </c>
      <c r="Z291" s="38"/>
      <c r="AA291" s="38">
        <v>0</v>
      </c>
      <c r="AB291" s="38"/>
      <c r="AC291" s="9">
        <f t="shared" si="4"/>
        <v>256305.34</v>
      </c>
      <c r="AD291" s="39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</row>
    <row r="292" spans="1:62" s="3" customFormat="1" ht="12">
      <c r="A292" s="38" t="s">
        <v>261</v>
      </c>
      <c r="B292" s="38"/>
      <c r="C292" s="38" t="s">
        <v>23</v>
      </c>
      <c r="D292" s="38"/>
      <c r="E292" s="38">
        <v>117299.34</v>
      </c>
      <c r="F292" s="38"/>
      <c r="G292" s="38">
        <v>389319.62</v>
      </c>
      <c r="H292" s="38"/>
      <c r="I292" s="38">
        <v>8381.15</v>
      </c>
      <c r="J292" s="38"/>
      <c r="K292" s="38">
        <v>6639.48</v>
      </c>
      <c r="L292" s="38"/>
      <c r="M292" s="38">
        <v>0</v>
      </c>
      <c r="N292" s="38"/>
      <c r="O292" s="38">
        <v>0</v>
      </c>
      <c r="P292" s="38"/>
      <c r="Q292" s="38">
        <v>2224.31</v>
      </c>
      <c r="R292" s="38"/>
      <c r="S292" s="38">
        <v>0</v>
      </c>
      <c r="T292" s="38"/>
      <c r="U292" s="38">
        <v>0</v>
      </c>
      <c r="V292" s="38"/>
      <c r="W292" s="38">
        <v>0</v>
      </c>
      <c r="X292" s="38"/>
      <c r="Y292" s="38">
        <v>0</v>
      </c>
      <c r="Z292" s="38"/>
      <c r="AA292" s="38">
        <v>0</v>
      </c>
      <c r="AB292" s="38"/>
      <c r="AC292" s="9">
        <f t="shared" si="4"/>
        <v>523863.89999999997</v>
      </c>
      <c r="AD292" s="39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</row>
    <row r="293" spans="1:62" s="3" customFormat="1" ht="12">
      <c r="A293" s="38" t="s">
        <v>588</v>
      </c>
      <c r="B293" s="38"/>
      <c r="C293" s="38" t="s">
        <v>69</v>
      </c>
      <c r="D293" s="38"/>
      <c r="E293" s="38">
        <v>99244.93</v>
      </c>
      <c r="F293" s="38"/>
      <c r="G293" s="38">
        <v>1095078.08</v>
      </c>
      <c r="H293" s="38"/>
      <c r="I293" s="38">
        <v>27593.69</v>
      </c>
      <c r="J293" s="38"/>
      <c r="K293" s="38">
        <v>32338.92</v>
      </c>
      <c r="L293" s="38"/>
      <c r="M293" s="38">
        <v>0</v>
      </c>
      <c r="N293" s="38"/>
      <c r="O293" s="38">
        <v>4216.03</v>
      </c>
      <c r="P293" s="38"/>
      <c r="Q293" s="38">
        <v>8296.85</v>
      </c>
      <c r="R293" s="38"/>
      <c r="S293" s="38">
        <v>52475.46</v>
      </c>
      <c r="T293" s="38"/>
      <c r="U293" s="38">
        <v>543</v>
      </c>
      <c r="V293" s="38"/>
      <c r="W293" s="38">
        <v>0</v>
      </c>
      <c r="X293" s="38"/>
      <c r="Y293" s="38">
        <v>0</v>
      </c>
      <c r="Z293" s="38"/>
      <c r="AA293" s="38">
        <v>0</v>
      </c>
      <c r="AB293" s="38"/>
      <c r="AC293" s="9">
        <f t="shared" si="4"/>
        <v>1319786.96</v>
      </c>
      <c r="AD293" s="39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</row>
    <row r="294" spans="1:62" s="3" customFormat="1" ht="12">
      <c r="A294" s="9" t="s">
        <v>263</v>
      </c>
      <c r="B294" s="9"/>
      <c r="C294" s="9" t="s">
        <v>71</v>
      </c>
      <c r="D294" s="9"/>
      <c r="E294" s="3">
        <v>0</v>
      </c>
      <c r="G294" s="3">
        <v>260970</v>
      </c>
      <c r="I294" s="3">
        <v>0</v>
      </c>
      <c r="K294" s="3">
        <v>2217</v>
      </c>
      <c r="M294" s="3">
        <v>0</v>
      </c>
      <c r="O294" s="3">
        <v>0</v>
      </c>
      <c r="Q294" s="3">
        <v>188</v>
      </c>
      <c r="S294" s="3">
        <v>619</v>
      </c>
      <c r="U294" s="3">
        <v>0</v>
      </c>
      <c r="W294" s="3">
        <v>0</v>
      </c>
      <c r="Y294" s="3">
        <v>0</v>
      </c>
      <c r="AA294" s="3">
        <v>0</v>
      </c>
      <c r="AB294" s="9"/>
      <c r="AC294" s="9">
        <f t="shared" si="4"/>
        <v>263994</v>
      </c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</row>
    <row r="295" spans="1:62" s="3" customFormat="1" ht="12">
      <c r="A295" s="38" t="s">
        <v>264</v>
      </c>
      <c r="B295" s="38"/>
      <c r="C295" s="38" t="s">
        <v>16</v>
      </c>
      <c r="D295" s="38"/>
      <c r="E295" s="38">
        <v>586947.27</v>
      </c>
      <c r="F295" s="38"/>
      <c r="G295" s="38">
        <v>473844.73</v>
      </c>
      <c r="H295" s="38"/>
      <c r="I295" s="38">
        <v>2606</v>
      </c>
      <c r="J295" s="38"/>
      <c r="K295" s="38">
        <v>24129.46</v>
      </c>
      <c r="L295" s="38"/>
      <c r="M295" s="38">
        <v>77.96</v>
      </c>
      <c r="N295" s="38"/>
      <c r="O295" s="38">
        <v>0</v>
      </c>
      <c r="P295" s="38"/>
      <c r="Q295" s="38">
        <v>32464.58</v>
      </c>
      <c r="R295" s="38"/>
      <c r="S295" s="38">
        <v>12113.6</v>
      </c>
      <c r="T295" s="38"/>
      <c r="U295" s="38">
        <v>0</v>
      </c>
      <c r="V295" s="38"/>
      <c r="W295" s="38">
        <v>0</v>
      </c>
      <c r="X295" s="38"/>
      <c r="Y295" s="38">
        <v>0</v>
      </c>
      <c r="Z295" s="38"/>
      <c r="AA295" s="38">
        <v>0</v>
      </c>
      <c r="AB295" s="38"/>
      <c r="AC295" s="9">
        <f t="shared" si="4"/>
        <v>1132183.6</v>
      </c>
      <c r="AD295" s="39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</row>
    <row r="296" spans="1:62" s="3" customFormat="1" ht="12">
      <c r="A296" s="9" t="s">
        <v>265</v>
      </c>
      <c r="B296" s="9"/>
      <c r="C296" s="9" t="s">
        <v>266</v>
      </c>
      <c r="D296" s="9"/>
      <c r="E296" s="3">
        <v>0</v>
      </c>
      <c r="G296" s="3">
        <v>1854662</v>
      </c>
      <c r="I296" s="3">
        <v>0</v>
      </c>
      <c r="K296" s="3">
        <v>61793</v>
      </c>
      <c r="M296" s="3">
        <v>0</v>
      </c>
      <c r="O296" s="3">
        <v>200097</v>
      </c>
      <c r="Q296" s="3">
        <v>627235</v>
      </c>
      <c r="S296" s="3">
        <v>5844</v>
      </c>
      <c r="U296" s="3">
        <v>0</v>
      </c>
      <c r="W296" s="3">
        <v>0</v>
      </c>
      <c r="Y296" s="3">
        <v>0</v>
      </c>
      <c r="AA296" s="3">
        <v>0</v>
      </c>
      <c r="AB296" s="9"/>
      <c r="AC296" s="9">
        <f t="shared" si="4"/>
        <v>2749631</v>
      </c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</row>
    <row r="297" spans="1:62" s="3" customFormat="1" ht="12">
      <c r="A297" s="38" t="s">
        <v>360</v>
      </c>
      <c r="B297" s="38"/>
      <c r="C297" s="38" t="s">
        <v>70</v>
      </c>
      <c r="D297" s="38"/>
      <c r="E297" s="38">
        <v>0</v>
      </c>
      <c r="F297" s="38"/>
      <c r="G297" s="38">
        <v>1064351.87</v>
      </c>
      <c r="H297" s="38"/>
      <c r="I297" s="38">
        <v>0</v>
      </c>
      <c r="J297" s="38"/>
      <c r="K297" s="38">
        <v>47104.12</v>
      </c>
      <c r="L297" s="38"/>
      <c r="M297" s="38">
        <v>0</v>
      </c>
      <c r="N297" s="38"/>
      <c r="O297" s="38">
        <v>5278.57</v>
      </c>
      <c r="P297" s="38"/>
      <c r="Q297" s="38">
        <v>1835.67</v>
      </c>
      <c r="R297" s="38"/>
      <c r="S297" s="38">
        <v>6887.6</v>
      </c>
      <c r="T297" s="38"/>
      <c r="U297" s="38">
        <v>371.1</v>
      </c>
      <c r="V297" s="38"/>
      <c r="W297" s="38">
        <v>0</v>
      </c>
      <c r="X297" s="38"/>
      <c r="Y297" s="38">
        <v>0</v>
      </c>
      <c r="Z297" s="38"/>
      <c r="AA297" s="38">
        <v>0</v>
      </c>
      <c r="AB297" s="38"/>
      <c r="AC297" s="9">
        <f t="shared" si="4"/>
        <v>1125828.9300000004</v>
      </c>
      <c r="AD297" s="39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</row>
    <row r="298" spans="1:62" s="3" customFormat="1" ht="12">
      <c r="A298" s="38" t="s">
        <v>268</v>
      </c>
      <c r="B298" s="38"/>
      <c r="C298" s="38" t="s">
        <v>13</v>
      </c>
      <c r="D298" s="38"/>
      <c r="E298" s="38">
        <v>0</v>
      </c>
      <c r="F298" s="38"/>
      <c r="G298" s="38">
        <v>433360.11</v>
      </c>
      <c r="H298" s="38"/>
      <c r="I298" s="38">
        <v>0</v>
      </c>
      <c r="J298" s="38"/>
      <c r="K298" s="38">
        <v>21991.04</v>
      </c>
      <c r="L298" s="38"/>
      <c r="M298" s="38">
        <v>0</v>
      </c>
      <c r="N298" s="38"/>
      <c r="O298" s="38">
        <v>6417</v>
      </c>
      <c r="P298" s="38"/>
      <c r="Q298" s="38">
        <v>4966.64</v>
      </c>
      <c r="R298" s="38"/>
      <c r="S298" s="38">
        <v>7842.26</v>
      </c>
      <c r="T298" s="38"/>
      <c r="U298" s="38">
        <v>0</v>
      </c>
      <c r="V298" s="38"/>
      <c r="W298" s="38">
        <v>0</v>
      </c>
      <c r="X298" s="38"/>
      <c r="Y298" s="38">
        <v>0</v>
      </c>
      <c r="Z298" s="38"/>
      <c r="AA298" s="38">
        <v>0</v>
      </c>
      <c r="AB298" s="38"/>
      <c r="AC298" s="9">
        <f t="shared" si="4"/>
        <v>474577.05</v>
      </c>
      <c r="AD298" s="39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</row>
    <row r="299" spans="1:62" s="3" customFormat="1" ht="12">
      <c r="A299" s="9" t="s">
        <v>269</v>
      </c>
      <c r="B299" s="9"/>
      <c r="C299" s="9" t="s">
        <v>190</v>
      </c>
      <c r="D299" s="9"/>
      <c r="E299" s="3">
        <v>0</v>
      </c>
      <c r="G299" s="3">
        <v>2560704</v>
      </c>
      <c r="I299" s="3">
        <v>3250</v>
      </c>
      <c r="K299" s="3">
        <v>45148</v>
      </c>
      <c r="M299" s="3">
        <v>38322</v>
      </c>
      <c r="O299" s="3">
        <v>18467</v>
      </c>
      <c r="Q299" s="3">
        <v>57805</v>
      </c>
      <c r="S299" s="3">
        <v>48182</v>
      </c>
      <c r="U299" s="3">
        <v>0</v>
      </c>
      <c r="W299" s="3">
        <v>0</v>
      </c>
      <c r="Y299" s="3">
        <v>0</v>
      </c>
      <c r="AA299" s="3">
        <v>0</v>
      </c>
      <c r="AB299" s="9"/>
      <c r="AC299" s="9">
        <f t="shared" si="4"/>
        <v>2771878</v>
      </c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</row>
    <row r="300" spans="1:62" s="3" customFormat="1" ht="12">
      <c r="A300" s="9" t="s">
        <v>505</v>
      </c>
      <c r="B300" s="9"/>
      <c r="C300" s="9" t="s">
        <v>20</v>
      </c>
      <c r="D300" s="9"/>
      <c r="E300" s="3">
        <v>3129401</v>
      </c>
      <c r="G300" s="3">
        <v>1398093</v>
      </c>
      <c r="I300" s="3">
        <v>0</v>
      </c>
      <c r="K300" s="3">
        <v>91436</v>
      </c>
      <c r="M300" s="3">
        <v>0</v>
      </c>
      <c r="O300" s="3">
        <v>335</v>
      </c>
      <c r="Q300" s="3">
        <v>130273</v>
      </c>
      <c r="S300" s="3">
        <v>26046</v>
      </c>
      <c r="U300" s="3">
        <v>0</v>
      </c>
      <c r="W300" s="3">
        <v>5000</v>
      </c>
      <c r="Y300" s="3">
        <v>0</v>
      </c>
      <c r="AA300" s="3">
        <v>0</v>
      </c>
      <c r="AB300" s="9"/>
      <c r="AC300" s="9">
        <f t="shared" si="4"/>
        <v>4780584</v>
      </c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</row>
    <row r="301" spans="1:62" s="3" customFormat="1" ht="12">
      <c r="A301" s="9" t="s">
        <v>24</v>
      </c>
      <c r="B301" s="9"/>
      <c r="C301" s="9" t="s">
        <v>25</v>
      </c>
      <c r="D301" s="9"/>
      <c r="E301" s="3">
        <v>0</v>
      </c>
      <c r="G301" s="3">
        <v>3000202</v>
      </c>
      <c r="I301" s="3">
        <v>0</v>
      </c>
      <c r="K301" s="3">
        <v>86349</v>
      </c>
      <c r="M301" s="3">
        <v>0</v>
      </c>
      <c r="O301" s="3">
        <v>5259</v>
      </c>
      <c r="Q301" s="3">
        <v>79399</v>
      </c>
      <c r="S301" s="3">
        <v>6119</v>
      </c>
      <c r="U301" s="3">
        <v>0</v>
      </c>
      <c r="W301" s="3">
        <v>0</v>
      </c>
      <c r="Y301" s="3">
        <v>0</v>
      </c>
      <c r="AA301" s="3">
        <v>0</v>
      </c>
      <c r="AB301" s="9"/>
      <c r="AC301" s="9">
        <f t="shared" si="4"/>
        <v>3177328</v>
      </c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</row>
    <row r="302" spans="1:62" s="3" customFormat="1" ht="12">
      <c r="A302" s="9" t="s">
        <v>270</v>
      </c>
      <c r="B302" s="9"/>
      <c r="C302" s="9" t="s">
        <v>109</v>
      </c>
      <c r="D302" s="9"/>
      <c r="E302" s="3">
        <v>0</v>
      </c>
      <c r="G302" s="3">
        <v>0</v>
      </c>
      <c r="I302" s="3">
        <v>1352216</v>
      </c>
      <c r="K302" s="3">
        <v>9692</v>
      </c>
      <c r="M302" s="3">
        <v>2624</v>
      </c>
      <c r="O302" s="3">
        <v>1041</v>
      </c>
      <c r="Q302" s="3">
        <v>23514</v>
      </c>
      <c r="S302" s="3">
        <v>26467</v>
      </c>
      <c r="U302" s="3">
        <v>0</v>
      </c>
      <c r="W302" s="3">
        <v>0</v>
      </c>
      <c r="Y302" s="3">
        <v>0</v>
      </c>
      <c r="AA302" s="3">
        <v>0</v>
      </c>
      <c r="AB302" s="9"/>
      <c r="AC302" s="9">
        <f t="shared" si="4"/>
        <v>1415554</v>
      </c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</row>
    <row r="303" spans="1:62" s="3" customFormat="1" ht="12">
      <c r="A303" s="9" t="s">
        <v>506</v>
      </c>
      <c r="B303" s="9"/>
      <c r="C303" s="9" t="s">
        <v>507</v>
      </c>
      <c r="D303" s="9"/>
      <c r="E303" s="3">
        <v>0</v>
      </c>
      <c r="G303" s="3">
        <v>0</v>
      </c>
      <c r="I303" s="3">
        <v>48601448</v>
      </c>
      <c r="K303" s="3">
        <v>1949231</v>
      </c>
      <c r="M303" s="3">
        <v>0</v>
      </c>
      <c r="O303" s="3">
        <v>30150</v>
      </c>
      <c r="Q303" s="3">
        <v>1085001</v>
      </c>
      <c r="S303" s="3">
        <v>766579</v>
      </c>
      <c r="U303" s="3">
        <v>0</v>
      </c>
      <c r="W303" s="3">
        <v>0</v>
      </c>
      <c r="Y303" s="3">
        <v>0</v>
      </c>
      <c r="AA303" s="3">
        <v>0</v>
      </c>
      <c r="AB303" s="9"/>
      <c r="AC303" s="9">
        <f t="shared" si="4"/>
        <v>52432409</v>
      </c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</row>
    <row r="304" spans="1:62" s="3" customFormat="1" ht="12">
      <c r="A304" s="38" t="s">
        <v>271</v>
      </c>
      <c r="B304" s="38"/>
      <c r="C304" s="38" t="s">
        <v>49</v>
      </c>
      <c r="D304" s="38"/>
      <c r="E304" s="38">
        <v>0</v>
      </c>
      <c r="F304" s="38"/>
      <c r="G304" s="38">
        <v>538470.45</v>
      </c>
      <c r="H304" s="38"/>
      <c r="I304" s="38">
        <v>2350</v>
      </c>
      <c r="J304" s="38"/>
      <c r="K304" s="38">
        <v>22269.65</v>
      </c>
      <c r="L304" s="38"/>
      <c r="M304" s="38">
        <v>0</v>
      </c>
      <c r="N304" s="38"/>
      <c r="O304" s="38">
        <v>0</v>
      </c>
      <c r="P304" s="38"/>
      <c r="Q304" s="38">
        <v>4985.97</v>
      </c>
      <c r="R304" s="38"/>
      <c r="S304" s="38">
        <v>20436.74</v>
      </c>
      <c r="T304" s="38"/>
      <c r="U304" s="38">
        <v>0</v>
      </c>
      <c r="V304" s="38"/>
      <c r="W304" s="38">
        <v>20000</v>
      </c>
      <c r="X304" s="38"/>
      <c r="Y304" s="38">
        <v>0</v>
      </c>
      <c r="Z304" s="38"/>
      <c r="AA304" s="38">
        <v>0</v>
      </c>
      <c r="AB304" s="38"/>
      <c r="AC304" s="9">
        <f t="shared" si="4"/>
        <v>608512.8099999999</v>
      </c>
      <c r="AD304" s="39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</row>
    <row r="305" spans="1:62" s="3" customFormat="1" ht="12">
      <c r="A305" s="38" t="s">
        <v>272</v>
      </c>
      <c r="B305" s="38"/>
      <c r="C305" s="38" t="s">
        <v>190</v>
      </c>
      <c r="D305" s="38"/>
      <c r="E305" s="38">
        <v>517343.08</v>
      </c>
      <c r="F305" s="38"/>
      <c r="G305" s="38">
        <v>1079259.77</v>
      </c>
      <c r="H305" s="38"/>
      <c r="I305" s="38">
        <v>41924.06</v>
      </c>
      <c r="J305" s="38"/>
      <c r="K305" s="38">
        <v>23766.59</v>
      </c>
      <c r="L305" s="38"/>
      <c r="M305" s="38">
        <v>0.5</v>
      </c>
      <c r="N305" s="38"/>
      <c r="O305" s="38">
        <v>53457.6</v>
      </c>
      <c r="P305" s="38"/>
      <c r="Q305" s="38">
        <v>45619.82</v>
      </c>
      <c r="R305" s="38"/>
      <c r="S305" s="38">
        <v>7856.65</v>
      </c>
      <c r="T305" s="38"/>
      <c r="U305" s="38">
        <v>0</v>
      </c>
      <c r="V305" s="38"/>
      <c r="W305" s="38">
        <v>0</v>
      </c>
      <c r="X305" s="38"/>
      <c r="Y305" s="38">
        <v>0</v>
      </c>
      <c r="Z305" s="38"/>
      <c r="AA305" s="38">
        <v>1945.7</v>
      </c>
      <c r="AB305" s="38"/>
      <c r="AC305" s="9">
        <f aca="true" t="shared" si="5" ref="AC305:AC356">SUM(E305:AA305)</f>
        <v>1771173.7700000003</v>
      </c>
      <c r="AD305" s="39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</row>
    <row r="306" spans="1:62" s="3" customFormat="1" ht="12">
      <c r="A306" s="9" t="s">
        <v>361</v>
      </c>
      <c r="B306" s="9"/>
      <c r="C306" s="9" t="s">
        <v>244</v>
      </c>
      <c r="D306" s="9"/>
      <c r="E306" s="3">
        <v>3407952</v>
      </c>
      <c r="G306" s="3">
        <v>9948048</v>
      </c>
      <c r="I306" s="3">
        <v>526216</v>
      </c>
      <c r="K306" s="3">
        <v>261176</v>
      </c>
      <c r="M306" s="3">
        <v>59912</v>
      </c>
      <c r="O306" s="3">
        <v>0</v>
      </c>
      <c r="Q306" s="3">
        <v>255610</v>
      </c>
      <c r="S306" s="3">
        <v>138932</v>
      </c>
      <c r="U306" s="3">
        <v>0</v>
      </c>
      <c r="W306" s="3">
        <v>101500</v>
      </c>
      <c r="Y306" s="3">
        <v>0</v>
      </c>
      <c r="AA306" s="3">
        <v>0</v>
      </c>
      <c r="AB306" s="9"/>
      <c r="AC306" s="9">
        <f t="shared" si="5"/>
        <v>14699346</v>
      </c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</row>
    <row r="307" spans="1:62" s="3" customFormat="1" ht="12">
      <c r="A307" s="9" t="s">
        <v>274</v>
      </c>
      <c r="B307" s="9"/>
      <c r="C307" s="9" t="s">
        <v>215</v>
      </c>
      <c r="D307" s="9"/>
      <c r="E307" s="3">
        <v>0</v>
      </c>
      <c r="G307" s="3">
        <v>389812</v>
      </c>
      <c r="I307" s="3">
        <v>0</v>
      </c>
      <c r="K307" s="3">
        <v>6756</v>
      </c>
      <c r="M307" s="3">
        <v>0</v>
      </c>
      <c r="O307" s="3">
        <v>138</v>
      </c>
      <c r="Q307" s="3">
        <v>7361</v>
      </c>
      <c r="S307" s="3">
        <v>12117</v>
      </c>
      <c r="U307" s="3">
        <v>0</v>
      </c>
      <c r="W307" s="3">
        <v>0</v>
      </c>
      <c r="Y307" s="3">
        <v>0</v>
      </c>
      <c r="AA307" s="3">
        <v>0</v>
      </c>
      <c r="AB307" s="9"/>
      <c r="AC307" s="9">
        <f t="shared" si="5"/>
        <v>416184</v>
      </c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</row>
    <row r="308" spans="1:62" s="3" customFormat="1" ht="12">
      <c r="A308" s="38" t="s">
        <v>362</v>
      </c>
      <c r="B308" s="38"/>
      <c r="C308" s="38" t="s">
        <v>64</v>
      </c>
      <c r="D308" s="38"/>
      <c r="E308" s="38">
        <v>17304.18</v>
      </c>
      <c r="F308" s="38"/>
      <c r="G308" s="38">
        <v>109547.05</v>
      </c>
      <c r="H308" s="38"/>
      <c r="I308" s="38">
        <v>0</v>
      </c>
      <c r="J308" s="38"/>
      <c r="K308" s="38">
        <v>1654.68</v>
      </c>
      <c r="L308" s="38"/>
      <c r="M308" s="38">
        <v>0</v>
      </c>
      <c r="N308" s="38"/>
      <c r="O308" s="38">
        <v>922.8</v>
      </c>
      <c r="P308" s="38"/>
      <c r="Q308" s="38">
        <v>1237.58</v>
      </c>
      <c r="R308" s="38"/>
      <c r="S308" s="38">
        <v>1359.2</v>
      </c>
      <c r="T308" s="38"/>
      <c r="U308" s="38">
        <v>0</v>
      </c>
      <c r="V308" s="38"/>
      <c r="W308" s="38">
        <v>0</v>
      </c>
      <c r="X308" s="38"/>
      <c r="Y308" s="38">
        <v>0</v>
      </c>
      <c r="Z308" s="38"/>
      <c r="AA308" s="38">
        <v>0</v>
      </c>
      <c r="AB308" s="38"/>
      <c r="AC308" s="9">
        <f t="shared" si="5"/>
        <v>132025.49000000002</v>
      </c>
      <c r="AD308" s="39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</row>
    <row r="309" spans="1:62" s="3" customFormat="1" ht="12">
      <c r="A309" s="38" t="s">
        <v>535</v>
      </c>
      <c r="B309" s="38"/>
      <c r="C309" s="38" t="s">
        <v>182</v>
      </c>
      <c r="D309" s="38"/>
      <c r="E309" s="38">
        <v>323434.16</v>
      </c>
      <c r="F309" s="38"/>
      <c r="G309" s="38">
        <v>607460.01</v>
      </c>
      <c r="H309" s="38"/>
      <c r="I309" s="38">
        <v>0</v>
      </c>
      <c r="J309" s="38"/>
      <c r="K309" s="38">
        <v>36411.89</v>
      </c>
      <c r="L309" s="38"/>
      <c r="M309" s="38">
        <v>0</v>
      </c>
      <c r="N309" s="38"/>
      <c r="O309" s="38">
        <v>30345.14</v>
      </c>
      <c r="P309" s="38"/>
      <c r="Q309" s="38">
        <v>151247.81</v>
      </c>
      <c r="R309" s="38"/>
      <c r="S309" s="38">
        <v>21806.91</v>
      </c>
      <c r="T309" s="38"/>
      <c r="U309" s="38">
        <v>669.5</v>
      </c>
      <c r="V309" s="38"/>
      <c r="W309" s="38">
        <v>22000</v>
      </c>
      <c r="X309" s="38"/>
      <c r="Y309" s="38">
        <v>0</v>
      </c>
      <c r="Z309" s="38"/>
      <c r="AA309" s="38">
        <v>0</v>
      </c>
      <c r="AB309" s="38"/>
      <c r="AC309" s="9">
        <f t="shared" si="5"/>
        <v>1193375.42</v>
      </c>
      <c r="AD309" s="39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</row>
    <row r="310" spans="1:62" s="3" customFormat="1" ht="12">
      <c r="A310" s="38" t="s">
        <v>277</v>
      </c>
      <c r="B310" s="38"/>
      <c r="C310" s="38" t="s">
        <v>46</v>
      </c>
      <c r="D310" s="38"/>
      <c r="E310" s="38">
        <v>0</v>
      </c>
      <c r="F310" s="38"/>
      <c r="G310" s="38">
        <v>180518.96</v>
      </c>
      <c r="H310" s="38"/>
      <c r="I310" s="38">
        <v>325</v>
      </c>
      <c r="J310" s="38"/>
      <c r="K310" s="38">
        <v>8390.19</v>
      </c>
      <c r="L310" s="38"/>
      <c r="M310" s="38">
        <v>0</v>
      </c>
      <c r="N310" s="38"/>
      <c r="O310" s="38">
        <v>695.5</v>
      </c>
      <c r="P310" s="38"/>
      <c r="Q310" s="38">
        <v>5825.82</v>
      </c>
      <c r="R310" s="38"/>
      <c r="S310" s="38">
        <v>105.76</v>
      </c>
      <c r="T310" s="38"/>
      <c r="U310" s="38">
        <v>0</v>
      </c>
      <c r="V310" s="38"/>
      <c r="W310" s="38">
        <v>0</v>
      </c>
      <c r="X310" s="38"/>
      <c r="Y310" s="38">
        <v>0</v>
      </c>
      <c r="Z310" s="38"/>
      <c r="AA310" s="38">
        <v>0</v>
      </c>
      <c r="AB310" s="38"/>
      <c r="AC310" s="9">
        <f t="shared" si="5"/>
        <v>195861.23</v>
      </c>
      <c r="AD310" s="39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</row>
    <row r="311" spans="1:62" s="3" customFormat="1" ht="12">
      <c r="A311" s="38" t="s">
        <v>278</v>
      </c>
      <c r="B311" s="38"/>
      <c r="C311" s="38" t="s">
        <v>53</v>
      </c>
      <c r="D311" s="38"/>
      <c r="E311" s="38">
        <v>0</v>
      </c>
      <c r="F311" s="38"/>
      <c r="G311" s="38">
        <v>192552.82</v>
      </c>
      <c r="H311" s="38"/>
      <c r="I311" s="38">
        <v>0</v>
      </c>
      <c r="J311" s="38"/>
      <c r="K311" s="38">
        <v>2077.03</v>
      </c>
      <c r="L311" s="38"/>
      <c r="M311" s="38">
        <v>0</v>
      </c>
      <c r="N311" s="38"/>
      <c r="O311" s="38">
        <v>85</v>
      </c>
      <c r="P311" s="38"/>
      <c r="Q311" s="38">
        <v>548.45</v>
      </c>
      <c r="R311" s="38"/>
      <c r="S311" s="38">
        <v>1820.19</v>
      </c>
      <c r="T311" s="38"/>
      <c r="U311" s="38">
        <v>0</v>
      </c>
      <c r="V311" s="38"/>
      <c r="W311" s="38">
        <v>0</v>
      </c>
      <c r="X311" s="38"/>
      <c r="Y311" s="38">
        <v>0</v>
      </c>
      <c r="Z311" s="38"/>
      <c r="AA311" s="38">
        <v>0</v>
      </c>
      <c r="AB311" s="38"/>
      <c r="AC311" s="9">
        <f t="shared" si="5"/>
        <v>197083.49000000002</v>
      </c>
      <c r="AD311" s="39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</row>
    <row r="312" spans="1:62" s="3" customFormat="1" ht="12">
      <c r="A312" s="9" t="s">
        <v>279</v>
      </c>
      <c r="B312" s="9"/>
      <c r="C312" s="9" t="s">
        <v>20</v>
      </c>
      <c r="D312" s="9"/>
      <c r="E312" s="3">
        <v>3207470</v>
      </c>
      <c r="G312" s="3">
        <v>815919</v>
      </c>
      <c r="I312" s="3">
        <v>398851</v>
      </c>
      <c r="K312" s="3">
        <v>52280</v>
      </c>
      <c r="M312" s="3">
        <v>0</v>
      </c>
      <c r="O312" s="3">
        <v>27112</v>
      </c>
      <c r="Q312" s="3">
        <v>296406</v>
      </c>
      <c r="S312" s="3">
        <v>10080</v>
      </c>
      <c r="U312" s="3">
        <v>0</v>
      </c>
      <c r="W312" s="3">
        <v>0</v>
      </c>
      <c r="Y312" s="3">
        <v>0</v>
      </c>
      <c r="AA312" s="3">
        <v>0</v>
      </c>
      <c r="AB312" s="9"/>
      <c r="AC312" s="9">
        <f t="shared" si="5"/>
        <v>4808118</v>
      </c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</row>
    <row r="313" spans="1:62" s="3" customFormat="1" ht="12">
      <c r="A313" s="9" t="s">
        <v>280</v>
      </c>
      <c r="B313" s="9"/>
      <c r="C313" s="9" t="s">
        <v>26</v>
      </c>
      <c r="D313" s="9"/>
      <c r="E313" s="3">
        <v>1777431</v>
      </c>
      <c r="G313" s="3">
        <v>0</v>
      </c>
      <c r="I313" s="3">
        <v>0</v>
      </c>
      <c r="K313" s="3">
        <v>28019</v>
      </c>
      <c r="M313" s="3">
        <v>0</v>
      </c>
      <c r="O313" s="3">
        <v>28487</v>
      </c>
      <c r="Q313" s="3">
        <v>6772</v>
      </c>
      <c r="S313" s="3">
        <f>12572+15178</f>
        <v>27750</v>
      </c>
      <c r="U313" s="3">
        <v>0</v>
      </c>
      <c r="W313" s="3">
        <v>0</v>
      </c>
      <c r="Y313" s="3">
        <v>0</v>
      </c>
      <c r="AA313" s="3">
        <v>0</v>
      </c>
      <c r="AB313" s="9"/>
      <c r="AC313" s="9">
        <f t="shared" si="5"/>
        <v>1868459</v>
      </c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</row>
    <row r="314" spans="1:62" s="3" customFormat="1" ht="12">
      <c r="A314" s="9" t="s">
        <v>281</v>
      </c>
      <c r="B314" s="9"/>
      <c r="C314" s="9" t="s">
        <v>68</v>
      </c>
      <c r="D314" s="9"/>
      <c r="E314" s="3">
        <v>401486</v>
      </c>
      <c r="G314" s="3">
        <v>630023</v>
      </c>
      <c r="I314" s="3">
        <v>22145</v>
      </c>
      <c r="K314" s="3">
        <v>19479</v>
      </c>
      <c r="M314" s="3">
        <v>0</v>
      </c>
      <c r="O314" s="3">
        <v>0</v>
      </c>
      <c r="Q314" s="3">
        <v>22506</v>
      </c>
      <c r="S314" s="3">
        <v>7369</v>
      </c>
      <c r="U314" s="3">
        <v>0</v>
      </c>
      <c r="W314" s="3">
        <v>0</v>
      </c>
      <c r="Y314" s="3">
        <v>0</v>
      </c>
      <c r="AA314" s="3">
        <v>0</v>
      </c>
      <c r="AC314" s="9">
        <f t="shared" si="5"/>
        <v>1103008</v>
      </c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</row>
    <row r="315" spans="1:62" s="3" customFormat="1" ht="12">
      <c r="A315" s="38" t="s">
        <v>282</v>
      </c>
      <c r="B315" s="38"/>
      <c r="C315" s="38" t="s">
        <v>72</v>
      </c>
      <c r="D315" s="38"/>
      <c r="E315" s="38">
        <v>0</v>
      </c>
      <c r="F315" s="38"/>
      <c r="G315" s="38">
        <v>0</v>
      </c>
      <c r="H315" s="38"/>
      <c r="I315" s="38">
        <v>249261.84</v>
      </c>
      <c r="J315" s="38"/>
      <c r="K315" s="38">
        <v>2400.24</v>
      </c>
      <c r="L315" s="38"/>
      <c r="M315" s="38">
        <v>0</v>
      </c>
      <c r="N315" s="38"/>
      <c r="O315" s="38">
        <v>355</v>
      </c>
      <c r="P315" s="38"/>
      <c r="Q315" s="38">
        <v>7588.97</v>
      </c>
      <c r="R315" s="38"/>
      <c r="S315" s="38">
        <v>2762.87</v>
      </c>
      <c r="T315" s="38"/>
      <c r="U315" s="38">
        <v>993.57</v>
      </c>
      <c r="V315" s="38"/>
      <c r="W315" s="38">
        <v>0</v>
      </c>
      <c r="X315" s="38"/>
      <c r="Y315" s="38">
        <v>0</v>
      </c>
      <c r="Z315" s="38"/>
      <c r="AA315" s="38">
        <v>0</v>
      </c>
      <c r="AB315" s="38"/>
      <c r="AC315" s="9">
        <f t="shared" si="5"/>
        <v>263362.49</v>
      </c>
      <c r="AD315" s="39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</row>
    <row r="316" spans="1:62" s="3" customFormat="1" ht="12">
      <c r="A316" s="38" t="s">
        <v>398</v>
      </c>
      <c r="B316" s="38"/>
      <c r="C316" s="38" t="s">
        <v>65</v>
      </c>
      <c r="D316" s="38"/>
      <c r="E316" s="38">
        <v>0</v>
      </c>
      <c r="F316" s="38"/>
      <c r="G316" s="38">
        <v>311660.34</v>
      </c>
      <c r="H316" s="38"/>
      <c r="I316" s="38">
        <v>1862</v>
      </c>
      <c r="J316" s="38"/>
      <c r="K316" s="38">
        <v>13478.56</v>
      </c>
      <c r="L316" s="38"/>
      <c r="M316" s="38">
        <v>0</v>
      </c>
      <c r="N316" s="38"/>
      <c r="O316" s="38">
        <v>4633.27</v>
      </c>
      <c r="P316" s="38"/>
      <c r="Q316" s="38">
        <v>5215.94</v>
      </c>
      <c r="R316" s="38"/>
      <c r="S316" s="38">
        <v>909.48</v>
      </c>
      <c r="T316" s="38"/>
      <c r="U316" s="38">
        <v>0</v>
      </c>
      <c r="V316" s="38"/>
      <c r="W316" s="38">
        <v>0</v>
      </c>
      <c r="X316" s="38"/>
      <c r="Y316" s="38">
        <v>0</v>
      </c>
      <c r="Z316" s="38"/>
      <c r="AA316" s="38">
        <v>0</v>
      </c>
      <c r="AB316" s="38"/>
      <c r="AC316" s="9">
        <f t="shared" si="5"/>
        <v>337759.59</v>
      </c>
      <c r="AD316" s="39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</row>
    <row r="317" spans="1:62" s="3" customFormat="1" ht="12">
      <c r="A317" s="9" t="s">
        <v>284</v>
      </c>
      <c r="B317" s="9"/>
      <c r="C317" s="9" t="s">
        <v>54</v>
      </c>
      <c r="D317" s="9"/>
      <c r="E317" s="3">
        <v>0</v>
      </c>
      <c r="G317" s="3">
        <v>898212</v>
      </c>
      <c r="I317" s="3">
        <v>0</v>
      </c>
      <c r="K317" s="3">
        <v>28475</v>
      </c>
      <c r="M317" s="3">
        <v>0</v>
      </c>
      <c r="O317" s="3">
        <v>20117</v>
      </c>
      <c r="Q317" s="3">
        <v>19300</v>
      </c>
      <c r="S317" s="3">
        <v>349</v>
      </c>
      <c r="U317" s="3">
        <v>0</v>
      </c>
      <c r="W317" s="3">
        <v>0</v>
      </c>
      <c r="Y317" s="3">
        <v>0</v>
      </c>
      <c r="AA317" s="3">
        <v>0</v>
      </c>
      <c r="AB317" s="9"/>
      <c r="AC317" s="9">
        <f t="shared" si="5"/>
        <v>966453</v>
      </c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</row>
    <row r="318" spans="1:62" s="3" customFormat="1" ht="12">
      <c r="A318" s="9" t="s">
        <v>285</v>
      </c>
      <c r="B318" s="9"/>
      <c r="C318" s="9" t="s">
        <v>57</v>
      </c>
      <c r="D318" s="9"/>
      <c r="E318" s="3">
        <v>0</v>
      </c>
      <c r="G318" s="3">
        <v>705071</v>
      </c>
      <c r="I318" s="3">
        <v>0</v>
      </c>
      <c r="K318" s="3">
        <v>9613</v>
      </c>
      <c r="M318" s="3">
        <v>0</v>
      </c>
      <c r="O318" s="3">
        <v>3722</v>
      </c>
      <c r="Q318" s="3">
        <v>1963</v>
      </c>
      <c r="S318" s="3">
        <v>162</v>
      </c>
      <c r="U318" s="3">
        <v>0</v>
      </c>
      <c r="W318" s="3">
        <v>0</v>
      </c>
      <c r="Y318" s="3">
        <v>0</v>
      </c>
      <c r="AA318" s="3">
        <v>0</v>
      </c>
      <c r="AB318" s="9"/>
      <c r="AC318" s="9">
        <f t="shared" si="5"/>
        <v>720531</v>
      </c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</row>
    <row r="319" spans="1:62" s="3" customFormat="1" ht="12">
      <c r="A319" s="9" t="s">
        <v>363</v>
      </c>
      <c r="B319" s="9"/>
      <c r="C319" s="9" t="s">
        <v>182</v>
      </c>
      <c r="D319" s="9"/>
      <c r="E319" s="3">
        <v>708197</v>
      </c>
      <c r="G319" s="3">
        <v>1840682</v>
      </c>
      <c r="I319" s="3">
        <v>0</v>
      </c>
      <c r="K319" s="3">
        <v>89256</v>
      </c>
      <c r="M319" s="3">
        <v>1057</v>
      </c>
      <c r="O319" s="3">
        <v>313841</v>
      </c>
      <c r="Q319" s="3">
        <v>57396</v>
      </c>
      <c r="S319" s="3">
        <v>27173</v>
      </c>
      <c r="U319" s="3">
        <v>0</v>
      </c>
      <c r="W319" s="3">
        <v>27624</v>
      </c>
      <c r="Y319" s="3">
        <v>0</v>
      </c>
      <c r="AA319" s="3">
        <v>0</v>
      </c>
      <c r="AB319" s="9"/>
      <c r="AC319" s="9">
        <f t="shared" si="5"/>
        <v>3065226</v>
      </c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</row>
    <row r="320" spans="1:62" s="3" customFormat="1" ht="12">
      <c r="A320" s="38" t="s">
        <v>286</v>
      </c>
      <c r="B320" s="38"/>
      <c r="C320" s="38" t="s">
        <v>71</v>
      </c>
      <c r="D320" s="38"/>
      <c r="E320" s="38">
        <v>0</v>
      </c>
      <c r="F320" s="38"/>
      <c r="G320" s="38">
        <v>271843.32</v>
      </c>
      <c r="H320" s="38"/>
      <c r="I320" s="38">
        <v>0</v>
      </c>
      <c r="J320" s="38"/>
      <c r="K320" s="38">
        <v>13335.02</v>
      </c>
      <c r="L320" s="38"/>
      <c r="M320" s="38">
        <v>0</v>
      </c>
      <c r="N320" s="38"/>
      <c r="O320" s="38">
        <v>600</v>
      </c>
      <c r="P320" s="38"/>
      <c r="Q320" s="38">
        <v>12038.18</v>
      </c>
      <c r="R320" s="38"/>
      <c r="S320" s="38">
        <v>0</v>
      </c>
      <c r="T320" s="38"/>
      <c r="U320" s="38">
        <v>0</v>
      </c>
      <c r="V320" s="38"/>
      <c r="W320" s="38">
        <v>0</v>
      </c>
      <c r="X320" s="38"/>
      <c r="Y320" s="38">
        <v>0</v>
      </c>
      <c r="Z320" s="38"/>
      <c r="AA320" s="38">
        <v>0</v>
      </c>
      <c r="AB320" s="38"/>
      <c r="AC320" s="9">
        <f t="shared" si="5"/>
        <v>297816.52</v>
      </c>
      <c r="AD320" s="39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</row>
    <row r="321" spans="1:62" s="3" customFormat="1" ht="12">
      <c r="A321" s="38" t="s">
        <v>287</v>
      </c>
      <c r="B321" s="38"/>
      <c r="C321" s="38" t="s">
        <v>48</v>
      </c>
      <c r="D321" s="38"/>
      <c r="E321" s="38">
        <v>0</v>
      </c>
      <c r="F321" s="38"/>
      <c r="G321" s="38">
        <v>171072.75</v>
      </c>
      <c r="H321" s="38"/>
      <c r="I321" s="38">
        <v>0</v>
      </c>
      <c r="J321" s="38"/>
      <c r="K321" s="38">
        <v>1993.93</v>
      </c>
      <c r="L321" s="38"/>
      <c r="M321" s="38">
        <v>0</v>
      </c>
      <c r="N321" s="38"/>
      <c r="O321" s="38">
        <v>16226.23</v>
      </c>
      <c r="P321" s="38"/>
      <c r="Q321" s="38">
        <v>1342.36</v>
      </c>
      <c r="R321" s="38"/>
      <c r="S321" s="38">
        <v>7444.01</v>
      </c>
      <c r="T321" s="38"/>
      <c r="U321" s="38">
        <v>0</v>
      </c>
      <c r="V321" s="38"/>
      <c r="W321" s="38">
        <v>0</v>
      </c>
      <c r="X321" s="38"/>
      <c r="Y321" s="38">
        <v>0</v>
      </c>
      <c r="Z321" s="38"/>
      <c r="AA321" s="38">
        <v>0</v>
      </c>
      <c r="AB321" s="38"/>
      <c r="AC321" s="9">
        <f t="shared" si="5"/>
        <v>198079.28</v>
      </c>
      <c r="AD321" s="39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</row>
    <row r="322" spans="1:62" s="3" customFormat="1" ht="12">
      <c r="A322" s="9" t="s">
        <v>288</v>
      </c>
      <c r="B322" s="9"/>
      <c r="C322" s="9" t="s">
        <v>20</v>
      </c>
      <c r="D322" s="9"/>
      <c r="E322" s="3">
        <v>3071771</v>
      </c>
      <c r="G322" s="3">
        <v>1849598</v>
      </c>
      <c r="I322" s="3">
        <v>0</v>
      </c>
      <c r="K322" s="3">
        <v>135628</v>
      </c>
      <c r="M322" s="3">
        <v>0</v>
      </c>
      <c r="O322" s="3">
        <v>250</v>
      </c>
      <c r="Q322" s="3">
        <v>62649</v>
      </c>
      <c r="S322" s="3">
        <v>115268</v>
      </c>
      <c r="U322" s="3">
        <v>0</v>
      </c>
      <c r="W322" s="3">
        <v>0</v>
      </c>
      <c r="Y322" s="3">
        <v>0</v>
      </c>
      <c r="AA322" s="3">
        <v>0</v>
      </c>
      <c r="AB322" s="9"/>
      <c r="AC322" s="9">
        <f t="shared" si="5"/>
        <v>5235164</v>
      </c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</row>
    <row r="323" spans="1:62" s="3" customFormat="1" ht="12">
      <c r="A323" s="9" t="s">
        <v>508</v>
      </c>
      <c r="B323" s="9"/>
      <c r="C323" s="9" t="s">
        <v>186</v>
      </c>
      <c r="D323" s="9"/>
      <c r="E323" s="3">
        <v>0</v>
      </c>
      <c r="G323" s="3">
        <v>0</v>
      </c>
      <c r="I323" s="3">
        <v>27294</v>
      </c>
      <c r="K323" s="3">
        <v>7152</v>
      </c>
      <c r="M323" s="3">
        <v>0</v>
      </c>
      <c r="O323" s="3">
        <v>7316</v>
      </c>
      <c r="Q323" s="3">
        <v>5420</v>
      </c>
      <c r="S323" s="3">
        <v>971</v>
      </c>
      <c r="U323" s="3">
        <v>0</v>
      </c>
      <c r="W323" s="3">
        <v>0</v>
      </c>
      <c r="Y323" s="3">
        <v>0</v>
      </c>
      <c r="AA323" s="3">
        <v>0</v>
      </c>
      <c r="AB323" s="9"/>
      <c r="AC323" s="9">
        <f t="shared" si="5"/>
        <v>48153</v>
      </c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</row>
    <row r="324" spans="1:62" s="3" customFormat="1" ht="12">
      <c r="A324" s="9" t="s">
        <v>290</v>
      </c>
      <c r="B324" s="9"/>
      <c r="C324" s="9" t="s">
        <v>98</v>
      </c>
      <c r="D324" s="9"/>
      <c r="E324" s="3">
        <v>0</v>
      </c>
      <c r="G324" s="3">
        <v>4124952</v>
      </c>
      <c r="I324" s="3">
        <v>0</v>
      </c>
      <c r="K324" s="3">
        <v>172259</v>
      </c>
      <c r="M324" s="3">
        <v>0</v>
      </c>
      <c r="O324" s="3">
        <v>15001</v>
      </c>
      <c r="Q324" s="3">
        <v>63777</v>
      </c>
      <c r="S324" s="3">
        <v>27274</v>
      </c>
      <c r="U324" s="3">
        <v>0</v>
      </c>
      <c r="W324" s="3">
        <v>0</v>
      </c>
      <c r="Y324" s="3">
        <v>0</v>
      </c>
      <c r="AA324" s="3">
        <v>0</v>
      </c>
      <c r="AB324" s="9"/>
      <c r="AC324" s="9">
        <f t="shared" si="5"/>
        <v>4403263</v>
      </c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</row>
    <row r="325" spans="1:62" s="3" customFormat="1" ht="12">
      <c r="A325" s="9"/>
      <c r="B325" s="9"/>
      <c r="C325" s="9"/>
      <c r="D325" s="9"/>
      <c r="AB325" s="9"/>
      <c r="AC325" s="21" t="s">
        <v>8</v>
      </c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</row>
    <row r="326" spans="1:62" s="4" customFormat="1" ht="12">
      <c r="A326" s="36" t="s">
        <v>291</v>
      </c>
      <c r="B326" s="36"/>
      <c r="C326" s="36" t="s">
        <v>47</v>
      </c>
      <c r="D326" s="36"/>
      <c r="E326" s="36">
        <v>0</v>
      </c>
      <c r="F326" s="36"/>
      <c r="G326" s="36">
        <v>532294.88</v>
      </c>
      <c r="H326" s="36"/>
      <c r="I326" s="36">
        <v>0</v>
      </c>
      <c r="J326" s="36"/>
      <c r="K326" s="36">
        <v>10969.73</v>
      </c>
      <c r="L326" s="36"/>
      <c r="M326" s="36">
        <v>0</v>
      </c>
      <c r="N326" s="36"/>
      <c r="O326" s="36">
        <v>3642.45</v>
      </c>
      <c r="P326" s="36"/>
      <c r="Q326" s="36">
        <v>504.77</v>
      </c>
      <c r="R326" s="36"/>
      <c r="S326" s="36">
        <v>2055.15</v>
      </c>
      <c r="T326" s="36"/>
      <c r="U326" s="36">
        <v>0</v>
      </c>
      <c r="V326" s="36"/>
      <c r="W326" s="36">
        <v>0</v>
      </c>
      <c r="X326" s="36"/>
      <c r="Y326" s="36">
        <v>0</v>
      </c>
      <c r="Z326" s="36"/>
      <c r="AA326" s="36">
        <v>0</v>
      </c>
      <c r="AB326" s="36"/>
      <c r="AC326" s="20">
        <f t="shared" si="5"/>
        <v>549466.98</v>
      </c>
      <c r="AD326" s="37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</row>
    <row r="327" spans="1:62" s="3" customFormat="1" ht="12">
      <c r="A327" s="38" t="s">
        <v>292</v>
      </c>
      <c r="B327" s="38"/>
      <c r="C327" s="38" t="s">
        <v>14</v>
      </c>
      <c r="D327" s="38"/>
      <c r="E327" s="38">
        <v>0</v>
      </c>
      <c r="F327" s="38"/>
      <c r="G327" s="38">
        <v>513655.46</v>
      </c>
      <c r="H327" s="38"/>
      <c r="I327" s="38">
        <v>0</v>
      </c>
      <c r="J327" s="38"/>
      <c r="K327" s="38">
        <v>11098.77</v>
      </c>
      <c r="L327" s="38"/>
      <c r="M327" s="38">
        <v>0</v>
      </c>
      <c r="N327" s="38"/>
      <c r="O327" s="38">
        <v>12289.5</v>
      </c>
      <c r="P327" s="38"/>
      <c r="Q327" s="38">
        <v>12437.95</v>
      </c>
      <c r="R327" s="38"/>
      <c r="S327" s="38">
        <v>4113.51</v>
      </c>
      <c r="T327" s="38"/>
      <c r="U327" s="38">
        <v>0</v>
      </c>
      <c r="V327" s="38"/>
      <c r="W327" s="38">
        <v>0</v>
      </c>
      <c r="X327" s="38"/>
      <c r="Y327" s="38">
        <v>0</v>
      </c>
      <c r="Z327" s="38"/>
      <c r="AA327" s="38">
        <v>0</v>
      </c>
      <c r="AB327" s="38"/>
      <c r="AC327" s="9">
        <f t="shared" si="5"/>
        <v>553595.19</v>
      </c>
      <c r="AD327" s="39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</row>
    <row r="328" spans="1:62" s="3" customFormat="1" ht="12">
      <c r="A328" s="9" t="s">
        <v>293</v>
      </c>
      <c r="B328" s="9"/>
      <c r="C328" s="9" t="s">
        <v>26</v>
      </c>
      <c r="D328" s="9"/>
      <c r="E328" s="3">
        <v>4242927</v>
      </c>
      <c r="G328" s="3">
        <v>8292565</v>
      </c>
      <c r="I328" s="3">
        <v>760069</v>
      </c>
      <c r="K328" s="3">
        <v>248811</v>
      </c>
      <c r="M328" s="3">
        <v>53056</v>
      </c>
      <c r="O328" s="3">
        <v>26276</v>
      </c>
      <c r="Q328" s="3">
        <v>191704</v>
      </c>
      <c r="S328" s="3">
        <v>60858</v>
      </c>
      <c r="U328" s="3">
        <v>0</v>
      </c>
      <c r="W328" s="3">
        <v>0</v>
      </c>
      <c r="Y328" s="3">
        <v>0</v>
      </c>
      <c r="AA328" s="3">
        <v>262054</v>
      </c>
      <c r="AB328" s="9"/>
      <c r="AC328" s="9">
        <f t="shared" si="5"/>
        <v>14138320</v>
      </c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</row>
    <row r="329" spans="1:62" s="3" customFormat="1" ht="12">
      <c r="A329" s="9" t="s">
        <v>294</v>
      </c>
      <c r="B329" s="9"/>
      <c r="C329" s="9" t="s">
        <v>295</v>
      </c>
      <c r="D329" s="9"/>
      <c r="E329" s="3">
        <v>0</v>
      </c>
      <c r="G329" s="3">
        <v>2957495</v>
      </c>
      <c r="I329" s="3">
        <v>0</v>
      </c>
      <c r="K329" s="3">
        <v>68644</v>
      </c>
      <c r="M329" s="3">
        <v>0</v>
      </c>
      <c r="O329" s="3">
        <v>4510</v>
      </c>
      <c r="Q329" s="3">
        <v>191303</v>
      </c>
      <c r="S329" s="3">
        <v>7943</v>
      </c>
      <c r="U329" s="3">
        <v>0</v>
      </c>
      <c r="W329" s="3">
        <v>0</v>
      </c>
      <c r="Y329" s="3">
        <v>0</v>
      </c>
      <c r="AA329" s="3">
        <v>0</v>
      </c>
      <c r="AB329" s="9"/>
      <c r="AC329" s="9">
        <f t="shared" si="5"/>
        <v>3229895</v>
      </c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</row>
    <row r="330" spans="1:62" s="3" customFormat="1" ht="12">
      <c r="A330" s="9" t="s">
        <v>296</v>
      </c>
      <c r="B330" s="9"/>
      <c r="C330" s="9" t="s">
        <v>23</v>
      </c>
      <c r="D330" s="9"/>
      <c r="E330" s="3">
        <v>907167</v>
      </c>
      <c r="G330" s="3">
        <v>0</v>
      </c>
      <c r="I330" s="3">
        <v>1372804</v>
      </c>
      <c r="K330" s="3">
        <v>79519</v>
      </c>
      <c r="M330" s="3">
        <v>0</v>
      </c>
      <c r="O330" s="3">
        <v>2966</v>
      </c>
      <c r="Q330" s="3">
        <v>48976</v>
      </c>
      <c r="S330" s="3">
        <v>6885</v>
      </c>
      <c r="U330" s="3">
        <v>0</v>
      </c>
      <c r="W330" s="3">
        <v>0</v>
      </c>
      <c r="Y330" s="3">
        <v>0</v>
      </c>
      <c r="AA330" s="3">
        <v>0</v>
      </c>
      <c r="AB330" s="9"/>
      <c r="AC330" s="9">
        <f t="shared" si="5"/>
        <v>2418317</v>
      </c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</row>
    <row r="331" spans="1:62" s="3" customFormat="1" ht="12">
      <c r="A331" s="38" t="s">
        <v>297</v>
      </c>
      <c r="B331" s="38"/>
      <c r="C331" s="38" t="s">
        <v>45</v>
      </c>
      <c r="D331" s="38"/>
      <c r="E331" s="38">
        <v>0</v>
      </c>
      <c r="F331" s="38"/>
      <c r="G331" s="38">
        <v>347776.64</v>
      </c>
      <c r="H331" s="38"/>
      <c r="I331" s="38">
        <v>0</v>
      </c>
      <c r="J331" s="38"/>
      <c r="K331" s="38">
        <v>13292.77</v>
      </c>
      <c r="L331" s="38"/>
      <c r="M331" s="38">
        <v>0</v>
      </c>
      <c r="N331" s="38"/>
      <c r="O331" s="38">
        <v>11067.95</v>
      </c>
      <c r="P331" s="38"/>
      <c r="Q331" s="38">
        <v>5669.24</v>
      </c>
      <c r="R331" s="38"/>
      <c r="S331" s="38">
        <v>434.99</v>
      </c>
      <c r="T331" s="38"/>
      <c r="U331" s="38">
        <v>0</v>
      </c>
      <c r="V331" s="38"/>
      <c r="W331" s="38">
        <v>0</v>
      </c>
      <c r="X331" s="38"/>
      <c r="Y331" s="38">
        <v>0</v>
      </c>
      <c r="Z331" s="38"/>
      <c r="AA331" s="38">
        <v>0</v>
      </c>
      <c r="AB331" s="38"/>
      <c r="AC331" s="9">
        <f t="shared" si="5"/>
        <v>378241.59</v>
      </c>
      <c r="AD331" s="39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</row>
    <row r="332" spans="1:62" s="3" customFormat="1" ht="12">
      <c r="A332" s="38" t="s">
        <v>365</v>
      </c>
      <c r="B332" s="38"/>
      <c r="C332" s="38" t="s">
        <v>186</v>
      </c>
      <c r="D332" s="38"/>
      <c r="E332" s="38">
        <v>0</v>
      </c>
      <c r="F332" s="38"/>
      <c r="G332" s="38">
        <v>442394.18</v>
      </c>
      <c r="H332" s="38"/>
      <c r="I332" s="38">
        <v>980</v>
      </c>
      <c r="J332" s="38"/>
      <c r="K332" s="38">
        <v>12503.54</v>
      </c>
      <c r="L332" s="38"/>
      <c r="M332" s="38">
        <v>0</v>
      </c>
      <c r="N332" s="38"/>
      <c r="O332" s="38">
        <v>9910.92</v>
      </c>
      <c r="P332" s="38"/>
      <c r="Q332" s="38">
        <v>32115.84</v>
      </c>
      <c r="R332" s="38"/>
      <c r="S332" s="38">
        <v>941.69</v>
      </c>
      <c r="T332" s="38"/>
      <c r="U332" s="38">
        <v>0</v>
      </c>
      <c r="V332" s="38"/>
      <c r="W332" s="38">
        <v>0</v>
      </c>
      <c r="X332" s="38"/>
      <c r="Y332" s="38">
        <v>0</v>
      </c>
      <c r="Z332" s="38"/>
      <c r="AA332" s="38">
        <v>0</v>
      </c>
      <c r="AB332" s="38"/>
      <c r="AC332" s="9">
        <f t="shared" si="5"/>
        <v>498846.17</v>
      </c>
      <c r="AD332" s="39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</row>
    <row r="333" spans="1:62" s="3" customFormat="1" ht="12">
      <c r="A333" s="9" t="s">
        <v>299</v>
      </c>
      <c r="B333" s="9"/>
      <c r="C333" s="9" t="s">
        <v>23</v>
      </c>
      <c r="D333" s="9"/>
      <c r="E333" s="3">
        <v>1037783</v>
      </c>
      <c r="G333" s="3">
        <v>1627685</v>
      </c>
      <c r="I333" s="3">
        <v>0</v>
      </c>
      <c r="K333" s="3">
        <v>20987</v>
      </c>
      <c r="M333" s="3">
        <v>0</v>
      </c>
      <c r="O333" s="3">
        <v>2595</v>
      </c>
      <c r="Q333" s="3">
        <v>28587</v>
      </c>
      <c r="S333" s="3">
        <v>2762</v>
      </c>
      <c r="U333" s="3">
        <v>0</v>
      </c>
      <c r="W333" s="3">
        <v>2455</v>
      </c>
      <c r="Y333" s="3">
        <v>0</v>
      </c>
      <c r="AA333" s="3">
        <v>0</v>
      </c>
      <c r="AB333" s="9"/>
      <c r="AC333" s="9">
        <f t="shared" si="5"/>
        <v>2722854</v>
      </c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</row>
    <row r="334" spans="1:62" s="3" customFormat="1" ht="12">
      <c r="A334" s="9" t="s">
        <v>300</v>
      </c>
      <c r="B334" s="9"/>
      <c r="C334" s="9" t="s">
        <v>48</v>
      </c>
      <c r="D334" s="9"/>
      <c r="E334" s="3">
        <v>1166683</v>
      </c>
      <c r="G334" s="3">
        <v>0</v>
      </c>
      <c r="I334" s="3">
        <v>0</v>
      </c>
      <c r="K334" s="3">
        <v>41590</v>
      </c>
      <c r="M334" s="3">
        <v>0</v>
      </c>
      <c r="O334" s="3">
        <v>41747</v>
      </c>
      <c r="Q334" s="3">
        <v>84366</v>
      </c>
      <c r="S334" s="3">
        <v>9858</v>
      </c>
      <c r="U334" s="3">
        <v>0</v>
      </c>
      <c r="W334" s="3">
        <v>0</v>
      </c>
      <c r="Y334" s="3">
        <v>0</v>
      </c>
      <c r="AA334" s="3">
        <v>0</v>
      </c>
      <c r="AB334" s="9"/>
      <c r="AC334" s="9">
        <f t="shared" si="5"/>
        <v>1344244</v>
      </c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</row>
    <row r="335" spans="1:62" s="3" customFormat="1" ht="12">
      <c r="A335" s="9" t="s">
        <v>509</v>
      </c>
      <c r="B335" s="9"/>
      <c r="C335" s="9" t="s">
        <v>56</v>
      </c>
      <c r="D335" s="9"/>
      <c r="E335" s="3">
        <v>0</v>
      </c>
      <c r="G335" s="3">
        <v>580154</v>
      </c>
      <c r="I335" s="3">
        <v>0</v>
      </c>
      <c r="K335" s="3">
        <v>17306</v>
      </c>
      <c r="M335" s="3">
        <v>0</v>
      </c>
      <c r="O335" s="3">
        <v>983</v>
      </c>
      <c r="Q335" s="3">
        <v>23128</v>
      </c>
      <c r="S335" s="3">
        <v>10438</v>
      </c>
      <c r="U335" s="3">
        <v>170481</v>
      </c>
      <c r="W335" s="3">
        <v>0</v>
      </c>
      <c r="Y335" s="3">
        <v>0</v>
      </c>
      <c r="AA335" s="3">
        <v>0</v>
      </c>
      <c r="AB335" s="9"/>
      <c r="AC335" s="9">
        <f t="shared" si="5"/>
        <v>802490</v>
      </c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</row>
    <row r="336" spans="1:62" s="3" customFormat="1" ht="12">
      <c r="A336" s="9" t="s">
        <v>301</v>
      </c>
      <c r="B336" s="9"/>
      <c r="C336" s="9" t="s">
        <v>366</v>
      </c>
      <c r="D336" s="9"/>
      <c r="E336" s="3">
        <v>12778177</v>
      </c>
      <c r="G336" s="3">
        <v>0</v>
      </c>
      <c r="I336" s="3">
        <v>20641640</v>
      </c>
      <c r="K336" s="3">
        <v>810473</v>
      </c>
      <c r="M336" s="3">
        <v>147244</v>
      </c>
      <c r="O336" s="3">
        <v>15882</v>
      </c>
      <c r="Q336" s="3">
        <v>344688</v>
      </c>
      <c r="S336" s="3">
        <v>206453</v>
      </c>
      <c r="U336" s="3">
        <v>0</v>
      </c>
      <c r="W336" s="3">
        <v>0</v>
      </c>
      <c r="Y336" s="3">
        <v>0</v>
      </c>
      <c r="AA336" s="3">
        <v>0</v>
      </c>
      <c r="AB336" s="9"/>
      <c r="AC336" s="9">
        <f t="shared" si="5"/>
        <v>34944557</v>
      </c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</row>
    <row r="337" spans="1:62" s="3" customFormat="1" ht="12">
      <c r="A337" s="9" t="s">
        <v>510</v>
      </c>
      <c r="B337" s="9"/>
      <c r="C337" s="9" t="s">
        <v>56</v>
      </c>
      <c r="D337" s="9"/>
      <c r="E337" s="3">
        <v>0</v>
      </c>
      <c r="G337" s="3">
        <v>0</v>
      </c>
      <c r="I337" s="3">
        <v>1545777</v>
      </c>
      <c r="K337" s="3">
        <v>47809</v>
      </c>
      <c r="M337" s="3">
        <v>0</v>
      </c>
      <c r="O337" s="3">
        <v>27520</v>
      </c>
      <c r="Q337" s="3">
        <v>49019</v>
      </c>
      <c r="S337" s="3">
        <v>4654</v>
      </c>
      <c r="U337" s="3">
        <v>0</v>
      </c>
      <c r="W337" s="3">
        <v>0</v>
      </c>
      <c r="Y337" s="3">
        <v>0</v>
      </c>
      <c r="AA337" s="3">
        <v>0</v>
      </c>
      <c r="AB337" s="9"/>
      <c r="AC337" s="9">
        <f t="shared" si="5"/>
        <v>1674779</v>
      </c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</row>
    <row r="338" spans="1:62" s="3" customFormat="1" ht="12">
      <c r="A338" s="9" t="s">
        <v>303</v>
      </c>
      <c r="B338" s="9"/>
      <c r="C338" s="9" t="s">
        <v>27</v>
      </c>
      <c r="D338" s="9"/>
      <c r="E338" s="3">
        <v>210025</v>
      </c>
      <c r="G338" s="3">
        <v>0</v>
      </c>
      <c r="I338" s="3">
        <v>1617872</v>
      </c>
      <c r="K338" s="3">
        <v>46175</v>
      </c>
      <c r="M338" s="3">
        <v>0</v>
      </c>
      <c r="O338" s="3">
        <v>1075</v>
      </c>
      <c r="Q338" s="3">
        <v>33917</v>
      </c>
      <c r="S338" s="3">
        <v>1400</v>
      </c>
      <c r="U338" s="3">
        <v>1365</v>
      </c>
      <c r="W338" s="3">
        <v>30000</v>
      </c>
      <c r="Y338" s="3">
        <v>0</v>
      </c>
      <c r="AA338" s="3">
        <v>0</v>
      </c>
      <c r="AB338" s="9"/>
      <c r="AC338" s="9">
        <f t="shared" si="5"/>
        <v>1941829</v>
      </c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</row>
    <row r="339" spans="1:62" s="3" customFormat="1" ht="12">
      <c r="A339" s="9" t="s">
        <v>367</v>
      </c>
      <c r="B339" s="9"/>
      <c r="C339" s="9" t="s">
        <v>23</v>
      </c>
      <c r="D339" s="9"/>
      <c r="E339" s="3">
        <v>715248</v>
      </c>
      <c r="G339" s="3">
        <v>0</v>
      </c>
      <c r="I339" s="3">
        <v>1537267</v>
      </c>
      <c r="K339" s="3">
        <v>65549</v>
      </c>
      <c r="M339" s="3">
        <v>0</v>
      </c>
      <c r="O339" s="3">
        <v>19618</v>
      </c>
      <c r="Q339" s="3">
        <v>30364</v>
      </c>
      <c r="S339" s="3">
        <v>2542</v>
      </c>
      <c r="U339" s="3">
        <v>0</v>
      </c>
      <c r="W339" s="3">
        <v>0</v>
      </c>
      <c r="Y339" s="3">
        <v>0</v>
      </c>
      <c r="AA339" s="3">
        <v>0</v>
      </c>
      <c r="AB339" s="9"/>
      <c r="AC339" s="9">
        <f t="shared" si="5"/>
        <v>2370588</v>
      </c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</row>
    <row r="340" spans="1:62" s="3" customFormat="1" ht="12">
      <c r="A340" s="9" t="s">
        <v>304</v>
      </c>
      <c r="B340" s="9"/>
      <c r="C340" s="9" t="s">
        <v>50</v>
      </c>
      <c r="D340" s="9"/>
      <c r="E340" s="3">
        <v>0</v>
      </c>
      <c r="G340" s="3">
        <v>531630</v>
      </c>
      <c r="I340" s="3">
        <v>0</v>
      </c>
      <c r="K340" s="3">
        <v>12307</v>
      </c>
      <c r="M340" s="3">
        <v>0</v>
      </c>
      <c r="O340" s="3">
        <v>848</v>
      </c>
      <c r="Q340" s="3">
        <v>825</v>
      </c>
      <c r="S340" s="3">
        <v>22</v>
      </c>
      <c r="U340" s="3">
        <v>0</v>
      </c>
      <c r="W340" s="3">
        <v>0</v>
      </c>
      <c r="Y340" s="3">
        <v>0</v>
      </c>
      <c r="AA340" s="3">
        <v>0</v>
      </c>
      <c r="AB340" s="9"/>
      <c r="AC340" s="9">
        <f t="shared" si="5"/>
        <v>545632</v>
      </c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</row>
    <row r="341" spans="1:62" s="3" customFormat="1" ht="12">
      <c r="A341" s="9" t="s">
        <v>305</v>
      </c>
      <c r="B341" s="9"/>
      <c r="C341" s="9" t="s">
        <v>98</v>
      </c>
      <c r="D341" s="9"/>
      <c r="E341" s="3">
        <v>2018330</v>
      </c>
      <c r="G341" s="3">
        <v>3200661</v>
      </c>
      <c r="I341" s="3">
        <v>264148</v>
      </c>
      <c r="K341" s="3">
        <v>196825</v>
      </c>
      <c r="M341" s="3">
        <v>0</v>
      </c>
      <c r="O341" s="3">
        <v>15081</v>
      </c>
      <c r="Q341" s="3">
        <v>138911</v>
      </c>
      <c r="S341" s="3">
        <v>83024</v>
      </c>
      <c r="U341" s="3">
        <v>0</v>
      </c>
      <c r="W341" s="3">
        <v>0</v>
      </c>
      <c r="Y341" s="3">
        <v>0</v>
      </c>
      <c r="AA341" s="3">
        <v>0</v>
      </c>
      <c r="AB341" s="9"/>
      <c r="AC341" s="9">
        <f t="shared" si="5"/>
        <v>5916980</v>
      </c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</row>
    <row r="342" spans="1:62" s="3" customFormat="1" ht="12">
      <c r="A342" s="9" t="s">
        <v>306</v>
      </c>
      <c r="B342" s="9"/>
      <c r="C342" s="9" t="s">
        <v>66</v>
      </c>
      <c r="D342" s="9"/>
      <c r="E342" s="3">
        <v>0</v>
      </c>
      <c r="G342" s="3">
        <v>325593</v>
      </c>
      <c r="I342" s="3">
        <v>0</v>
      </c>
      <c r="K342" s="3">
        <v>15093</v>
      </c>
      <c r="M342" s="3">
        <v>0</v>
      </c>
      <c r="O342" s="3">
        <v>11648</v>
      </c>
      <c r="Q342" s="3">
        <v>24876</v>
      </c>
      <c r="S342" s="3">
        <v>260</v>
      </c>
      <c r="U342" s="3">
        <v>0</v>
      </c>
      <c r="W342" s="3">
        <v>0</v>
      </c>
      <c r="Y342" s="3">
        <v>0</v>
      </c>
      <c r="AA342" s="3">
        <v>0</v>
      </c>
      <c r="AB342" s="9"/>
      <c r="AC342" s="9">
        <f t="shared" si="5"/>
        <v>377470</v>
      </c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</row>
    <row r="343" spans="1:62" s="3" customFormat="1" ht="12">
      <c r="A343" s="9" t="s">
        <v>307</v>
      </c>
      <c r="B343" s="9"/>
      <c r="C343" s="9" t="s">
        <v>59</v>
      </c>
      <c r="D343" s="9"/>
      <c r="E343" s="3">
        <v>2032232</v>
      </c>
      <c r="G343" s="3">
        <v>4348500</v>
      </c>
      <c r="I343" s="3">
        <v>56209</v>
      </c>
      <c r="K343" s="3">
        <v>124528</v>
      </c>
      <c r="M343" s="3">
        <v>0</v>
      </c>
      <c r="O343" s="3">
        <v>438</v>
      </c>
      <c r="Q343" s="3">
        <v>103289</v>
      </c>
      <c r="S343" s="3">
        <v>12595</v>
      </c>
      <c r="U343" s="3">
        <v>1162</v>
      </c>
      <c r="W343" s="3">
        <v>0</v>
      </c>
      <c r="Y343" s="3">
        <v>0</v>
      </c>
      <c r="AA343" s="3">
        <v>0</v>
      </c>
      <c r="AB343" s="9"/>
      <c r="AC343" s="9">
        <f t="shared" si="5"/>
        <v>6678953</v>
      </c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</row>
    <row r="344" spans="1:62" s="3" customFormat="1" ht="12">
      <c r="A344" s="9" t="s">
        <v>308</v>
      </c>
      <c r="B344" s="9"/>
      <c r="C344" s="9" t="s">
        <v>28</v>
      </c>
      <c r="D344" s="9"/>
      <c r="E344" s="3">
        <v>0</v>
      </c>
      <c r="G344" s="3">
        <v>0</v>
      </c>
      <c r="I344" s="3">
        <v>2369599</v>
      </c>
      <c r="K344" s="3">
        <v>0</v>
      </c>
      <c r="M344" s="3">
        <v>83611</v>
      </c>
      <c r="O344" s="3">
        <v>8550</v>
      </c>
      <c r="Q344" s="3">
        <v>85831</v>
      </c>
      <c r="S344" s="3">
        <v>5546</v>
      </c>
      <c r="U344" s="3">
        <v>0</v>
      </c>
      <c r="W344" s="3">
        <v>0</v>
      </c>
      <c r="Y344" s="3">
        <v>0</v>
      </c>
      <c r="AA344" s="3">
        <v>383</v>
      </c>
      <c r="AB344" s="9"/>
      <c r="AC344" s="9">
        <f t="shared" si="5"/>
        <v>2553520</v>
      </c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</row>
    <row r="345" spans="1:62" s="3" customFormat="1" ht="12">
      <c r="A345" s="9" t="s">
        <v>309</v>
      </c>
      <c r="B345" s="9"/>
      <c r="C345" s="9" t="s">
        <v>58</v>
      </c>
      <c r="D345" s="9"/>
      <c r="E345" s="3">
        <v>3494636</v>
      </c>
      <c r="G345" s="3">
        <v>2635855</v>
      </c>
      <c r="I345" s="3">
        <v>362043</v>
      </c>
      <c r="K345" s="3">
        <v>215408</v>
      </c>
      <c r="M345" s="3">
        <v>0</v>
      </c>
      <c r="O345" s="3">
        <v>8566</v>
      </c>
      <c r="Q345" s="3">
        <v>510586</v>
      </c>
      <c r="S345" s="3">
        <v>7349</v>
      </c>
      <c r="U345" s="3">
        <v>0</v>
      </c>
      <c r="W345" s="3">
        <v>0</v>
      </c>
      <c r="Y345" s="3">
        <v>0</v>
      </c>
      <c r="AA345" s="3">
        <v>0</v>
      </c>
      <c r="AB345" s="9"/>
      <c r="AC345" s="9">
        <f t="shared" si="5"/>
        <v>7234443</v>
      </c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</row>
    <row r="346" spans="1:62" s="3" customFormat="1" ht="12">
      <c r="A346" s="38" t="s">
        <v>536</v>
      </c>
      <c r="B346" s="38"/>
      <c r="C346" s="38" t="s">
        <v>45</v>
      </c>
      <c r="D346" s="38"/>
      <c r="E346" s="38">
        <v>26553.09</v>
      </c>
      <c r="F346" s="38"/>
      <c r="G346" s="38">
        <v>379854.05</v>
      </c>
      <c r="H346" s="38"/>
      <c r="I346" s="38">
        <v>4205.26</v>
      </c>
      <c r="J346" s="38"/>
      <c r="K346" s="38">
        <v>12439.88</v>
      </c>
      <c r="L346" s="38"/>
      <c r="M346" s="38">
        <v>0</v>
      </c>
      <c r="N346" s="38"/>
      <c r="O346" s="38">
        <v>433.94</v>
      </c>
      <c r="P346" s="38"/>
      <c r="Q346" s="38">
        <v>34847.41</v>
      </c>
      <c r="R346" s="38"/>
      <c r="S346" s="38">
        <v>1367.67</v>
      </c>
      <c r="T346" s="38"/>
      <c r="U346" s="38">
        <v>0</v>
      </c>
      <c r="V346" s="38"/>
      <c r="W346" s="38">
        <v>0</v>
      </c>
      <c r="X346" s="38"/>
      <c r="Y346" s="38">
        <v>0</v>
      </c>
      <c r="Z346" s="38"/>
      <c r="AA346" s="38">
        <v>0</v>
      </c>
      <c r="AB346" s="38"/>
      <c r="AC346" s="9">
        <f t="shared" si="5"/>
        <v>459701.3</v>
      </c>
      <c r="AD346" s="39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</row>
    <row r="347" spans="1:62" s="3" customFormat="1" ht="12">
      <c r="A347" s="9" t="s">
        <v>310</v>
      </c>
      <c r="B347" s="9"/>
      <c r="C347" s="9" t="s">
        <v>254</v>
      </c>
      <c r="D347" s="9"/>
      <c r="E347" s="3">
        <v>1484154</v>
      </c>
      <c r="G347" s="3">
        <v>3539111</v>
      </c>
      <c r="I347" s="3">
        <v>197647</v>
      </c>
      <c r="K347" s="3">
        <v>185271</v>
      </c>
      <c r="M347" s="3">
        <v>0</v>
      </c>
      <c r="O347" s="3">
        <v>1000</v>
      </c>
      <c r="Q347" s="3">
        <v>89673</v>
      </c>
      <c r="S347" s="3">
        <v>24133</v>
      </c>
      <c r="U347" s="3">
        <v>0</v>
      </c>
      <c r="W347" s="3">
        <v>0</v>
      </c>
      <c r="Y347" s="3">
        <v>0</v>
      </c>
      <c r="AA347" s="3">
        <v>0</v>
      </c>
      <c r="AB347" s="9"/>
      <c r="AC347" s="9">
        <f t="shared" si="5"/>
        <v>5520989</v>
      </c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</row>
    <row r="348" spans="1:62" s="3" customFormat="1" ht="12">
      <c r="A348" s="9" t="s">
        <v>311</v>
      </c>
      <c r="B348" s="9"/>
      <c r="C348" s="9" t="s">
        <v>68</v>
      </c>
      <c r="D348" s="9"/>
      <c r="E348" s="3">
        <v>0</v>
      </c>
      <c r="G348" s="3">
        <v>335619</v>
      </c>
      <c r="I348" s="3">
        <v>0</v>
      </c>
      <c r="K348" s="3">
        <v>6244</v>
      </c>
      <c r="M348" s="3">
        <v>0</v>
      </c>
      <c r="O348" s="3">
        <v>2212</v>
      </c>
      <c r="Q348" s="3">
        <v>16859</v>
      </c>
      <c r="S348" s="3">
        <v>1153</v>
      </c>
      <c r="U348" s="3">
        <v>0</v>
      </c>
      <c r="W348" s="3">
        <v>0</v>
      </c>
      <c r="Y348" s="3">
        <v>0</v>
      </c>
      <c r="AA348" s="3">
        <v>0</v>
      </c>
      <c r="AB348" s="9"/>
      <c r="AC348" s="9">
        <f t="shared" si="5"/>
        <v>362087</v>
      </c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</row>
    <row r="349" spans="1:62" s="3" customFormat="1" ht="12">
      <c r="A349" s="38" t="s">
        <v>537</v>
      </c>
      <c r="B349" s="38"/>
      <c r="C349" s="38" t="s">
        <v>68</v>
      </c>
      <c r="D349" s="38"/>
      <c r="E349" s="38">
        <v>452755.65</v>
      </c>
      <c r="F349" s="38"/>
      <c r="G349" s="38">
        <v>1118944.64</v>
      </c>
      <c r="H349" s="38"/>
      <c r="I349" s="38">
        <v>63229.36</v>
      </c>
      <c r="J349" s="38"/>
      <c r="K349" s="38">
        <v>64417.73</v>
      </c>
      <c r="L349" s="38"/>
      <c r="M349" s="38">
        <v>0</v>
      </c>
      <c r="N349" s="38"/>
      <c r="O349" s="38">
        <v>6024.24</v>
      </c>
      <c r="P349" s="38"/>
      <c r="Q349" s="38">
        <v>27124.41</v>
      </c>
      <c r="R349" s="38"/>
      <c r="S349" s="38">
        <v>35073.79</v>
      </c>
      <c r="T349" s="38"/>
      <c r="U349" s="38">
        <v>2943.16</v>
      </c>
      <c r="V349" s="38"/>
      <c r="W349" s="38">
        <v>0</v>
      </c>
      <c r="X349" s="38"/>
      <c r="Y349" s="38">
        <v>0</v>
      </c>
      <c r="Z349" s="38"/>
      <c r="AA349" s="38">
        <v>0</v>
      </c>
      <c r="AB349" s="38"/>
      <c r="AC349" s="9">
        <f t="shared" si="5"/>
        <v>1770512.98</v>
      </c>
      <c r="AD349" s="39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</row>
    <row r="350" spans="1:62" s="3" customFormat="1" ht="12">
      <c r="A350" s="38" t="s">
        <v>313</v>
      </c>
      <c r="B350" s="38"/>
      <c r="C350" s="38" t="s">
        <v>54</v>
      </c>
      <c r="D350" s="38"/>
      <c r="E350" s="38">
        <v>0</v>
      </c>
      <c r="F350" s="38"/>
      <c r="G350" s="38">
        <v>414156.25</v>
      </c>
      <c r="H350" s="38"/>
      <c r="I350" s="38">
        <v>0</v>
      </c>
      <c r="J350" s="38"/>
      <c r="K350" s="38">
        <v>5644.08</v>
      </c>
      <c r="L350" s="38"/>
      <c r="M350" s="38">
        <v>0</v>
      </c>
      <c r="N350" s="38"/>
      <c r="O350" s="38">
        <v>2405.51</v>
      </c>
      <c r="P350" s="38"/>
      <c r="Q350" s="38">
        <v>68114.92</v>
      </c>
      <c r="R350" s="38"/>
      <c r="S350" s="38">
        <v>289.9</v>
      </c>
      <c r="T350" s="38"/>
      <c r="U350" s="38">
        <v>0</v>
      </c>
      <c r="V350" s="38"/>
      <c r="W350" s="38">
        <v>0</v>
      </c>
      <c r="X350" s="38"/>
      <c r="Y350" s="38">
        <v>0</v>
      </c>
      <c r="Z350" s="38"/>
      <c r="AA350" s="38">
        <v>0</v>
      </c>
      <c r="AB350" s="38"/>
      <c r="AC350" s="9">
        <f t="shared" si="5"/>
        <v>490610.66000000003</v>
      </c>
      <c r="AD350" s="39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</row>
    <row r="351" spans="1:62" s="3" customFormat="1" ht="12">
      <c r="A351" s="38" t="s">
        <v>314</v>
      </c>
      <c r="B351" s="38"/>
      <c r="C351" s="38" t="s">
        <v>68</v>
      </c>
      <c r="D351" s="38"/>
      <c r="E351" s="38">
        <v>0</v>
      </c>
      <c r="F351" s="38"/>
      <c r="G351" s="38">
        <v>401086.19</v>
      </c>
      <c r="H351" s="38"/>
      <c r="I351" s="38">
        <v>0</v>
      </c>
      <c r="J351" s="38"/>
      <c r="K351" s="38">
        <v>9488.44</v>
      </c>
      <c r="L351" s="38"/>
      <c r="M351" s="38">
        <v>0</v>
      </c>
      <c r="N351" s="38"/>
      <c r="O351" s="38">
        <v>1032</v>
      </c>
      <c r="P351" s="38"/>
      <c r="Q351" s="38">
        <v>32087.49</v>
      </c>
      <c r="R351" s="38"/>
      <c r="S351" s="38">
        <v>5562.6</v>
      </c>
      <c r="T351" s="38"/>
      <c r="U351" s="38">
        <v>0</v>
      </c>
      <c r="V351" s="38"/>
      <c r="W351" s="38">
        <v>0</v>
      </c>
      <c r="X351" s="38"/>
      <c r="Y351" s="38">
        <v>0</v>
      </c>
      <c r="Z351" s="38"/>
      <c r="AA351" s="38">
        <v>0</v>
      </c>
      <c r="AB351" s="38"/>
      <c r="AC351" s="9">
        <f t="shared" si="5"/>
        <v>449256.72</v>
      </c>
      <c r="AD351" s="39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</row>
    <row r="352" spans="1:62" s="3" customFormat="1" ht="12">
      <c r="A352" s="38" t="s">
        <v>538</v>
      </c>
      <c r="B352" s="38"/>
      <c r="C352" s="38" t="s">
        <v>16</v>
      </c>
      <c r="D352" s="38"/>
      <c r="E352" s="38">
        <v>284908.14</v>
      </c>
      <c r="F352" s="38"/>
      <c r="G352" s="38">
        <v>881864.93</v>
      </c>
      <c r="H352" s="38"/>
      <c r="I352" s="38">
        <v>0</v>
      </c>
      <c r="J352" s="38"/>
      <c r="K352" s="38">
        <v>26031.99</v>
      </c>
      <c r="L352" s="38"/>
      <c r="M352" s="38">
        <v>0</v>
      </c>
      <c r="N352" s="38"/>
      <c r="O352" s="38">
        <v>1100</v>
      </c>
      <c r="P352" s="38"/>
      <c r="Q352" s="38">
        <v>75405.85</v>
      </c>
      <c r="R352" s="38"/>
      <c r="S352" s="38">
        <v>11582.2</v>
      </c>
      <c r="T352" s="38"/>
      <c r="U352" s="38">
        <v>1488.1</v>
      </c>
      <c r="V352" s="38"/>
      <c r="W352" s="38">
        <v>0</v>
      </c>
      <c r="X352" s="38"/>
      <c r="Y352" s="38">
        <v>0</v>
      </c>
      <c r="Z352" s="38"/>
      <c r="AA352" s="38">
        <v>0</v>
      </c>
      <c r="AB352" s="38"/>
      <c r="AC352" s="9">
        <f t="shared" si="5"/>
        <v>1282381.2100000002</v>
      </c>
      <c r="AD352" s="39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</row>
    <row r="353" spans="1:62" s="3" customFormat="1" ht="12">
      <c r="A353" s="9" t="s">
        <v>315</v>
      </c>
      <c r="B353" s="9"/>
      <c r="C353" s="9" t="s">
        <v>95</v>
      </c>
      <c r="D353" s="9"/>
      <c r="E353" s="3">
        <v>4900</v>
      </c>
      <c r="G353" s="3">
        <v>789226</v>
      </c>
      <c r="I353" s="3">
        <v>0</v>
      </c>
      <c r="K353" s="3">
        <v>26608</v>
      </c>
      <c r="M353" s="3">
        <v>0</v>
      </c>
      <c r="O353" s="3">
        <v>6859</v>
      </c>
      <c r="Q353" s="3">
        <v>18095</v>
      </c>
      <c r="S353" s="3">
        <v>12286</v>
      </c>
      <c r="U353" s="3">
        <v>0</v>
      </c>
      <c r="W353" s="3">
        <v>0</v>
      </c>
      <c r="Y353" s="3">
        <v>0</v>
      </c>
      <c r="AA353" s="3">
        <v>0</v>
      </c>
      <c r="AB353" s="9"/>
      <c r="AC353" s="9">
        <f t="shared" si="5"/>
        <v>857974</v>
      </c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</row>
    <row r="354" spans="1:62" s="3" customFormat="1" ht="12">
      <c r="A354" s="9" t="s">
        <v>511</v>
      </c>
      <c r="B354" s="9"/>
      <c r="C354" s="9" t="s">
        <v>266</v>
      </c>
      <c r="D354" s="9"/>
      <c r="E354" s="3">
        <v>0</v>
      </c>
      <c r="G354" s="3">
        <v>0</v>
      </c>
      <c r="I354" s="3">
        <f>122461+56691</f>
        <v>179152</v>
      </c>
      <c r="K354" s="3">
        <f>5500+1250</f>
        <v>6750</v>
      </c>
      <c r="M354" s="3">
        <v>0</v>
      </c>
      <c r="O354" s="3">
        <v>0</v>
      </c>
      <c r="Q354" s="3">
        <v>509</v>
      </c>
      <c r="S354" s="3">
        <v>1150</v>
      </c>
      <c r="U354" s="3">
        <v>0</v>
      </c>
      <c r="W354" s="3">
        <v>0</v>
      </c>
      <c r="Y354" s="3">
        <v>0</v>
      </c>
      <c r="AA354" s="3">
        <v>0</v>
      </c>
      <c r="AB354" s="9"/>
      <c r="AC354" s="9">
        <f t="shared" si="5"/>
        <v>187561</v>
      </c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</row>
    <row r="355" spans="1:62" s="3" customFormat="1" ht="12">
      <c r="A355" s="9" t="s">
        <v>316</v>
      </c>
      <c r="B355" s="9"/>
      <c r="C355" s="9" t="s">
        <v>230</v>
      </c>
      <c r="D355" s="9"/>
      <c r="E355" s="3">
        <v>623559</v>
      </c>
      <c r="G355" s="3">
        <v>1195405</v>
      </c>
      <c r="I355" s="3">
        <v>0</v>
      </c>
      <c r="K355" s="3">
        <v>30790</v>
      </c>
      <c r="M355" s="3">
        <v>0</v>
      </c>
      <c r="O355" s="3">
        <v>117940</v>
      </c>
      <c r="Q355" s="3">
        <v>31337</v>
      </c>
      <c r="S355" s="3">
        <v>8805</v>
      </c>
      <c r="U355" s="3">
        <v>0</v>
      </c>
      <c r="W355" s="3">
        <v>0</v>
      </c>
      <c r="Y355" s="3">
        <v>0</v>
      </c>
      <c r="AA355" s="3">
        <v>0</v>
      </c>
      <c r="AB355" s="9"/>
      <c r="AC355" s="9">
        <f t="shared" si="5"/>
        <v>2007836</v>
      </c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</row>
    <row r="356" spans="1:62" s="3" customFormat="1" ht="12">
      <c r="A356" s="9" t="s">
        <v>317</v>
      </c>
      <c r="B356" s="9"/>
      <c r="C356" s="9" t="s">
        <v>16</v>
      </c>
      <c r="D356" s="9"/>
      <c r="E356" s="3">
        <v>1872792</v>
      </c>
      <c r="G356" s="3">
        <v>2252713</v>
      </c>
      <c r="I356" s="3">
        <v>308269</v>
      </c>
      <c r="K356" s="3">
        <v>114225</v>
      </c>
      <c r="M356" s="3">
        <v>0</v>
      </c>
      <c r="O356" s="3">
        <v>3584</v>
      </c>
      <c r="Q356" s="3">
        <v>104422</v>
      </c>
      <c r="S356" s="3">
        <v>30248</v>
      </c>
      <c r="U356" s="3">
        <v>0</v>
      </c>
      <c r="W356" s="3">
        <v>106560</v>
      </c>
      <c r="Y356" s="3">
        <v>0</v>
      </c>
      <c r="AA356" s="3">
        <v>0</v>
      </c>
      <c r="AB356" s="9"/>
      <c r="AC356" s="9">
        <f t="shared" si="5"/>
        <v>4792813</v>
      </c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</row>
    <row r="357" spans="1:62" s="3" customFormat="1" ht="12">
      <c r="A357" s="38" t="s">
        <v>318</v>
      </c>
      <c r="B357" s="38"/>
      <c r="C357" s="38" t="s">
        <v>72</v>
      </c>
      <c r="D357" s="38"/>
      <c r="E357" s="38">
        <v>0</v>
      </c>
      <c r="F357" s="38"/>
      <c r="G357" s="38">
        <v>706241.81</v>
      </c>
      <c r="H357" s="38"/>
      <c r="I357" s="38">
        <v>0</v>
      </c>
      <c r="J357" s="38"/>
      <c r="K357" s="38">
        <v>26330.47</v>
      </c>
      <c r="L357" s="38"/>
      <c r="M357" s="38">
        <v>0</v>
      </c>
      <c r="N357" s="38"/>
      <c r="O357" s="38">
        <v>5765</v>
      </c>
      <c r="P357" s="38"/>
      <c r="Q357" s="38">
        <v>15701.25</v>
      </c>
      <c r="R357" s="38"/>
      <c r="S357" s="38">
        <v>4357.37</v>
      </c>
      <c r="T357" s="38"/>
      <c r="U357" s="38">
        <v>0</v>
      </c>
      <c r="V357" s="38"/>
      <c r="W357" s="38">
        <v>0</v>
      </c>
      <c r="X357" s="38"/>
      <c r="Y357" s="38">
        <v>0</v>
      </c>
      <c r="Z357" s="38"/>
      <c r="AA357" s="38">
        <v>0</v>
      </c>
      <c r="AB357" s="38"/>
      <c r="AC357" s="9">
        <f aca="true" t="shared" si="6" ref="AC357:AC362">SUM(E357:AA357)</f>
        <v>758395.9</v>
      </c>
      <c r="AD357" s="39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</row>
    <row r="358" spans="1:62" s="3" customFormat="1" ht="12">
      <c r="A358" s="9" t="s">
        <v>319</v>
      </c>
      <c r="B358" s="9"/>
      <c r="C358" s="9" t="s">
        <v>68</v>
      </c>
      <c r="D358" s="9"/>
      <c r="E358" s="3">
        <v>0</v>
      </c>
      <c r="G358" s="3">
        <v>1629986</v>
      </c>
      <c r="I358" s="3">
        <v>0</v>
      </c>
      <c r="K358" s="3">
        <v>51216</v>
      </c>
      <c r="M358" s="3">
        <v>5276</v>
      </c>
      <c r="O358" s="3">
        <v>50997</v>
      </c>
      <c r="Q358" s="3">
        <v>19197</v>
      </c>
      <c r="S358" s="3">
        <v>12835</v>
      </c>
      <c r="U358" s="3">
        <v>0</v>
      </c>
      <c r="W358" s="3">
        <v>0</v>
      </c>
      <c r="Y358" s="3">
        <v>0</v>
      </c>
      <c r="AA358" s="3">
        <v>249900</v>
      </c>
      <c r="AB358" s="9"/>
      <c r="AC358" s="9">
        <f t="shared" si="6"/>
        <v>2019407</v>
      </c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</row>
    <row r="359" spans="1:62" s="3" customFormat="1" ht="12">
      <c r="A359" s="38" t="s">
        <v>320</v>
      </c>
      <c r="B359" s="38"/>
      <c r="C359" s="38" t="s">
        <v>84</v>
      </c>
      <c r="D359" s="38"/>
      <c r="E359" s="38">
        <v>0</v>
      </c>
      <c r="F359" s="38"/>
      <c r="G359" s="38">
        <v>372654.14</v>
      </c>
      <c r="H359" s="38"/>
      <c r="I359" s="38">
        <v>0</v>
      </c>
      <c r="J359" s="38"/>
      <c r="K359" s="38">
        <v>11050.87</v>
      </c>
      <c r="L359" s="38"/>
      <c r="M359" s="38">
        <v>0</v>
      </c>
      <c r="N359" s="38"/>
      <c r="O359" s="38">
        <v>2245</v>
      </c>
      <c r="P359" s="38"/>
      <c r="Q359" s="38">
        <v>5363.79</v>
      </c>
      <c r="R359" s="38"/>
      <c r="S359" s="38">
        <v>75</v>
      </c>
      <c r="T359" s="38"/>
      <c r="U359" s="38">
        <v>0</v>
      </c>
      <c r="V359" s="38"/>
      <c r="W359" s="38">
        <v>0</v>
      </c>
      <c r="X359" s="38"/>
      <c r="Y359" s="38">
        <v>0</v>
      </c>
      <c r="Z359" s="38"/>
      <c r="AA359" s="38">
        <v>0</v>
      </c>
      <c r="AB359" s="38"/>
      <c r="AC359" s="9">
        <f t="shared" si="6"/>
        <v>391388.8</v>
      </c>
      <c r="AD359" s="39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</row>
    <row r="360" spans="1:62" s="3" customFormat="1" ht="12">
      <c r="A360" s="38" t="s">
        <v>368</v>
      </c>
      <c r="B360" s="38"/>
      <c r="C360" s="38" t="s">
        <v>73</v>
      </c>
      <c r="D360" s="38"/>
      <c r="E360" s="38">
        <v>0</v>
      </c>
      <c r="F360" s="38"/>
      <c r="G360" s="38">
        <v>155597.69</v>
      </c>
      <c r="H360" s="38"/>
      <c r="I360" s="38">
        <v>2350</v>
      </c>
      <c r="J360" s="38"/>
      <c r="K360" s="38">
        <v>1982.78</v>
      </c>
      <c r="L360" s="38"/>
      <c r="M360" s="38">
        <v>0</v>
      </c>
      <c r="N360" s="38"/>
      <c r="O360" s="38">
        <v>1463.03</v>
      </c>
      <c r="P360" s="38"/>
      <c r="Q360" s="38">
        <v>6742.11</v>
      </c>
      <c r="R360" s="38"/>
      <c r="S360" s="38">
        <v>345.66</v>
      </c>
      <c r="T360" s="38"/>
      <c r="U360" s="38">
        <v>219.1</v>
      </c>
      <c r="V360" s="38"/>
      <c r="W360" s="38">
        <v>0</v>
      </c>
      <c r="X360" s="38"/>
      <c r="Y360" s="38">
        <v>0</v>
      </c>
      <c r="Z360" s="38"/>
      <c r="AA360" s="38">
        <v>0</v>
      </c>
      <c r="AB360" s="38"/>
      <c r="AC360" s="9">
        <f t="shared" si="6"/>
        <v>168700.37</v>
      </c>
      <c r="AD360" s="39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</row>
    <row r="361" spans="1:62" s="3" customFormat="1" ht="12">
      <c r="A361" s="9" t="s">
        <v>322</v>
      </c>
      <c r="B361" s="9"/>
      <c r="C361" s="9" t="s">
        <v>98</v>
      </c>
      <c r="D361" s="9"/>
      <c r="E361" s="3">
        <v>6613736</v>
      </c>
      <c r="G361" s="3">
        <v>3429348</v>
      </c>
      <c r="I361" s="3">
        <v>0</v>
      </c>
      <c r="K361" s="3">
        <v>282729</v>
      </c>
      <c r="M361" s="3">
        <v>748611</v>
      </c>
      <c r="O361" s="3">
        <v>18828</v>
      </c>
      <c r="Q361" s="3">
        <v>496133</v>
      </c>
      <c r="S361" s="3">
        <v>4735</v>
      </c>
      <c r="U361" s="3">
        <v>0</v>
      </c>
      <c r="W361" s="3">
        <v>0</v>
      </c>
      <c r="Y361" s="3">
        <v>0</v>
      </c>
      <c r="AA361" s="3">
        <v>0</v>
      </c>
      <c r="AB361" s="9"/>
      <c r="AC361" s="9">
        <f t="shared" si="6"/>
        <v>11594120</v>
      </c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</row>
    <row r="362" spans="1:62" s="3" customFormat="1" ht="12">
      <c r="A362" s="38" t="s">
        <v>539</v>
      </c>
      <c r="B362" s="38"/>
      <c r="C362" s="38" t="s">
        <v>58</v>
      </c>
      <c r="D362" s="38"/>
      <c r="E362" s="38">
        <v>173717.6</v>
      </c>
      <c r="F362" s="38"/>
      <c r="G362" s="38">
        <v>1468332.05</v>
      </c>
      <c r="H362" s="38"/>
      <c r="I362" s="38">
        <v>57411.03</v>
      </c>
      <c r="J362" s="38"/>
      <c r="K362" s="38">
        <v>46313.83</v>
      </c>
      <c r="L362" s="38"/>
      <c r="M362" s="38">
        <v>0</v>
      </c>
      <c r="N362" s="38"/>
      <c r="O362" s="38">
        <v>55450.11</v>
      </c>
      <c r="P362" s="38"/>
      <c r="Q362" s="38">
        <v>29835.21</v>
      </c>
      <c r="R362" s="38"/>
      <c r="S362" s="38">
        <v>17700.22</v>
      </c>
      <c r="T362" s="38"/>
      <c r="U362" s="38">
        <v>0</v>
      </c>
      <c r="V362" s="38"/>
      <c r="W362" s="38">
        <v>0</v>
      </c>
      <c r="X362" s="38"/>
      <c r="Y362" s="38">
        <v>0</v>
      </c>
      <c r="Z362" s="38"/>
      <c r="AA362" s="38">
        <v>0</v>
      </c>
      <c r="AB362" s="38"/>
      <c r="AC362" s="9">
        <f t="shared" si="6"/>
        <v>1848760.0500000003</v>
      </c>
      <c r="AD362" s="39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</row>
    <row r="363" spans="1:62" ht="1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21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</row>
    <row r="364" spans="1:62" ht="1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</row>
    <row r="365" spans="1:62" ht="12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5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</row>
    <row r="366" spans="1:62" ht="12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5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</row>
    <row r="367" spans="1:62" ht="12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5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</row>
  </sheetData>
  <sheetProtection/>
  <printOptions horizontalCentered="1"/>
  <pageMargins left="0.75" right="0.75" top="0.5" bottom="0.5" header="0" footer="0.3"/>
  <pageSetup firstPageNumber="8" useFirstPageNumber="1" fitToHeight="3" fitToWidth="2" horizontalDpi="300" verticalDpi="300" orientation="portrait" pageOrder="overThenDown" scale="76" r:id="rId1"/>
  <headerFooter scaleWithDoc="0" alignWithMargins="0">
    <oddFooter>&amp;C&amp;"Times New Roman,Regular"&amp;11&amp;P</oddFooter>
  </headerFooter>
  <rowBreaks count="3" manualBreakCount="3">
    <brk id="102" max="28" man="1"/>
    <brk id="243" max="28" man="1"/>
    <brk id="325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85"/>
  <sheetViews>
    <sheetView zoomScaleSheetLayoutView="110" zoomScalePageLayoutView="0" workbookViewId="0" topLeftCell="A1">
      <pane xSplit="3" ySplit="7" topLeftCell="D8" activePane="bottomRight" state="frozen"/>
      <selection pane="topLeft" activeCell="M109" sqref="M109"/>
      <selection pane="topRight" activeCell="M109" sqref="M109"/>
      <selection pane="bottomLeft" activeCell="M109" sqref="M109"/>
      <selection pane="bottomRight" activeCell="A3" sqref="A3"/>
    </sheetView>
  </sheetViews>
  <sheetFormatPr defaultColWidth="9.140625" defaultRowHeight="12.75"/>
  <cols>
    <col min="1" max="1" width="33.57421875" style="2" customWidth="1"/>
    <col min="2" max="2" width="1.7109375" style="2" customWidth="1"/>
    <col min="3" max="3" width="11.140625" style="2" customWidth="1"/>
    <col min="4" max="4" width="1.7109375" style="2" customWidth="1"/>
    <col min="5" max="5" width="11.7109375" style="2" customWidth="1"/>
    <col min="6" max="6" width="1.7109375" style="2" customWidth="1"/>
    <col min="7" max="7" width="11.7109375" style="2" customWidth="1"/>
    <col min="8" max="8" width="1.7109375" style="2" customWidth="1"/>
    <col min="9" max="9" width="11.7109375" style="2" customWidth="1"/>
    <col min="10" max="10" width="1.7109375" style="2" customWidth="1"/>
    <col min="11" max="11" width="10.7109375" style="2" customWidth="1"/>
    <col min="12" max="12" width="1.7109375" style="2" customWidth="1"/>
    <col min="13" max="13" width="11.7109375" style="2" customWidth="1"/>
    <col min="14" max="14" width="1.7109375" style="2" customWidth="1"/>
    <col min="15" max="15" width="11.7109375" style="2" customWidth="1"/>
    <col min="16" max="16" width="1.7109375" style="2" customWidth="1"/>
    <col min="17" max="17" width="11.7109375" style="2" customWidth="1"/>
    <col min="18" max="18" width="1.7109375" style="2" customWidth="1"/>
    <col min="19" max="19" width="11.7109375" style="2" customWidth="1"/>
    <col min="20" max="20" width="1.7109375" style="2" customWidth="1"/>
    <col min="21" max="21" width="11.7109375" style="2" customWidth="1"/>
    <col min="22" max="22" width="1.7109375" style="2" customWidth="1"/>
    <col min="23" max="23" width="11.7109375" style="2" customWidth="1"/>
    <col min="24" max="24" width="1.7109375" style="2" customWidth="1"/>
    <col min="25" max="25" width="11.7109375" style="2" customWidth="1"/>
    <col min="26" max="26" width="1.7109375" style="2" customWidth="1"/>
    <col min="27" max="27" width="11.7109375" style="2" customWidth="1"/>
    <col min="28" max="28" width="1.7109375" style="2" customWidth="1"/>
    <col min="29" max="29" width="11.7109375" style="2" customWidth="1"/>
    <col min="30" max="16384" width="9.140625" style="2" customWidth="1"/>
  </cols>
  <sheetData>
    <row r="1" ht="12">
      <c r="A1" s="2" t="s">
        <v>626</v>
      </c>
    </row>
    <row r="2" ht="12">
      <c r="A2" s="2" t="s">
        <v>490</v>
      </c>
    </row>
    <row r="3" ht="12">
      <c r="A3" s="29" t="s">
        <v>8</v>
      </c>
    </row>
    <row r="4" s="7" customFormat="1" ht="12"/>
    <row r="5" spans="7:27" s="7" customFormat="1" ht="12">
      <c r="G5" s="7" t="s">
        <v>369</v>
      </c>
      <c r="I5" s="7" t="s">
        <v>371</v>
      </c>
      <c r="K5" s="7" t="s">
        <v>9</v>
      </c>
      <c r="U5" s="7" t="s">
        <v>378</v>
      </c>
      <c r="AA5" s="7" t="s">
        <v>0</v>
      </c>
    </row>
    <row r="6" spans="7:27" s="7" customFormat="1" ht="12">
      <c r="G6" s="7" t="s">
        <v>370</v>
      </c>
      <c r="I6" s="7" t="s">
        <v>372</v>
      </c>
      <c r="K6" s="7" t="s">
        <v>373</v>
      </c>
      <c r="Q6" s="7" t="s">
        <v>31</v>
      </c>
      <c r="S6" s="7" t="s">
        <v>376</v>
      </c>
      <c r="U6" s="7" t="s">
        <v>379</v>
      </c>
      <c r="AA6" s="7" t="s">
        <v>340</v>
      </c>
    </row>
    <row r="7" spans="1:29" s="7" customFormat="1" ht="12" customHeight="1">
      <c r="A7" s="1" t="s">
        <v>9</v>
      </c>
      <c r="C7" s="1" t="s">
        <v>7</v>
      </c>
      <c r="D7" s="5"/>
      <c r="E7" s="1" t="s">
        <v>3</v>
      </c>
      <c r="F7" s="5"/>
      <c r="G7" s="1" t="s">
        <v>4</v>
      </c>
      <c r="H7" s="5"/>
      <c r="I7" s="1" t="s">
        <v>30</v>
      </c>
      <c r="J7" s="5"/>
      <c r="K7" s="1" t="s">
        <v>374</v>
      </c>
      <c r="L7" s="5"/>
      <c r="M7" s="1" t="s">
        <v>5</v>
      </c>
      <c r="N7" s="5"/>
      <c r="O7" s="1" t="s">
        <v>0</v>
      </c>
      <c r="P7" s="5"/>
      <c r="Q7" s="1" t="s">
        <v>375</v>
      </c>
      <c r="R7" s="5"/>
      <c r="S7" s="1" t="s">
        <v>377</v>
      </c>
      <c r="T7" s="5"/>
      <c r="U7" s="1" t="s">
        <v>380</v>
      </c>
      <c r="V7" s="5"/>
      <c r="W7" s="1" t="s">
        <v>606</v>
      </c>
      <c r="X7" s="5"/>
      <c r="Y7" s="1" t="s">
        <v>607</v>
      </c>
      <c r="Z7" s="5"/>
      <c r="AA7" s="1" t="s">
        <v>381</v>
      </c>
      <c r="AB7" s="5"/>
      <c r="AC7" s="6" t="s">
        <v>29</v>
      </c>
    </row>
    <row r="8" spans="1:30" ht="12" hidden="1">
      <c r="A8" s="2" t="s">
        <v>76</v>
      </c>
      <c r="C8" s="2" t="s">
        <v>64</v>
      </c>
      <c r="E8" s="4">
        <v>0</v>
      </c>
      <c r="F8" s="4"/>
      <c r="G8" s="4">
        <v>0</v>
      </c>
      <c r="H8" s="4"/>
      <c r="I8" s="4">
        <v>0</v>
      </c>
      <c r="J8" s="4"/>
      <c r="K8" s="4">
        <v>0</v>
      </c>
      <c r="L8" s="4"/>
      <c r="M8" s="4">
        <v>0</v>
      </c>
      <c r="N8" s="4"/>
      <c r="O8" s="4">
        <v>0</v>
      </c>
      <c r="P8" s="4"/>
      <c r="Q8" s="4">
        <v>0</v>
      </c>
      <c r="R8" s="4"/>
      <c r="S8" s="4">
        <v>0</v>
      </c>
      <c r="T8" s="4"/>
      <c r="U8" s="4">
        <v>0</v>
      </c>
      <c r="V8" s="4"/>
      <c r="W8" s="4">
        <v>0</v>
      </c>
      <c r="X8" s="4"/>
      <c r="Y8" s="4">
        <v>0</v>
      </c>
      <c r="Z8" s="4"/>
      <c r="AA8" s="4">
        <v>0</v>
      </c>
      <c r="AB8" s="4"/>
      <c r="AC8" s="4">
        <f aca="true" t="shared" si="0" ref="AC8:AC39">SUM(E8:AA8)</f>
        <v>0</v>
      </c>
      <c r="AD8" s="4"/>
    </row>
    <row r="9" spans="1:29" s="8" customFormat="1" ht="12" hidden="1">
      <c r="A9" s="8" t="s">
        <v>77</v>
      </c>
      <c r="C9" s="8" t="s">
        <v>43</v>
      </c>
      <c r="E9" s="9">
        <v>0</v>
      </c>
      <c r="F9" s="9"/>
      <c r="G9" s="9">
        <v>0</v>
      </c>
      <c r="H9" s="9"/>
      <c r="I9" s="9">
        <v>0</v>
      </c>
      <c r="J9" s="9"/>
      <c r="K9" s="9">
        <v>0</v>
      </c>
      <c r="L9" s="9"/>
      <c r="M9" s="9">
        <v>0</v>
      </c>
      <c r="N9" s="9"/>
      <c r="O9" s="9">
        <v>0</v>
      </c>
      <c r="P9" s="9"/>
      <c r="Q9" s="9">
        <v>0</v>
      </c>
      <c r="R9" s="9"/>
      <c r="S9" s="9">
        <v>0</v>
      </c>
      <c r="T9" s="9"/>
      <c r="U9" s="9">
        <v>0</v>
      </c>
      <c r="V9" s="9"/>
      <c r="W9" s="9">
        <v>0</v>
      </c>
      <c r="X9" s="9"/>
      <c r="Y9" s="9">
        <v>0</v>
      </c>
      <c r="Z9" s="9"/>
      <c r="AA9" s="9">
        <v>0</v>
      </c>
      <c r="AB9" s="9"/>
      <c r="AC9" s="9">
        <f t="shared" si="0"/>
        <v>0</v>
      </c>
    </row>
    <row r="10" spans="1:63" s="20" customFormat="1" ht="12">
      <c r="A10" s="36" t="s">
        <v>76</v>
      </c>
      <c r="B10" s="36"/>
      <c r="C10" s="36" t="s">
        <v>565</v>
      </c>
      <c r="D10" s="36"/>
      <c r="E10" s="36">
        <v>151391.61</v>
      </c>
      <c r="F10" s="36"/>
      <c r="G10" s="36">
        <v>46880.03</v>
      </c>
      <c r="H10" s="36"/>
      <c r="I10" s="36">
        <v>47240.9</v>
      </c>
      <c r="J10" s="36"/>
      <c r="K10" s="36">
        <v>30257.37</v>
      </c>
      <c r="L10" s="36"/>
      <c r="M10" s="36">
        <v>5836.6</v>
      </c>
      <c r="N10" s="36"/>
      <c r="O10" s="36">
        <v>1496</v>
      </c>
      <c r="P10" s="36"/>
      <c r="Q10" s="36">
        <v>11184.43</v>
      </c>
      <c r="R10" s="36"/>
      <c r="S10" s="36">
        <v>0</v>
      </c>
      <c r="T10" s="36"/>
      <c r="U10" s="36">
        <v>0</v>
      </c>
      <c r="V10" s="36"/>
      <c r="W10" s="36">
        <v>30000</v>
      </c>
      <c r="X10" s="36"/>
      <c r="Y10" s="36">
        <v>0</v>
      </c>
      <c r="Z10" s="36"/>
      <c r="AA10" s="36">
        <v>0</v>
      </c>
      <c r="AB10" s="36"/>
      <c r="AC10" s="4">
        <f t="shared" si="0"/>
        <v>324286.93999999994</v>
      </c>
      <c r="AD10" s="37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4"/>
    </row>
    <row r="11" spans="1:29" s="8" customFormat="1" ht="12" hidden="1">
      <c r="A11" s="8" t="s">
        <v>34</v>
      </c>
      <c r="C11" s="8" t="s">
        <v>44</v>
      </c>
      <c r="E11" s="9">
        <v>0</v>
      </c>
      <c r="F11" s="9"/>
      <c r="G11" s="9">
        <v>0</v>
      </c>
      <c r="H11" s="9"/>
      <c r="I11" s="9">
        <v>0</v>
      </c>
      <c r="J11" s="9"/>
      <c r="K11" s="9">
        <v>0</v>
      </c>
      <c r="L11" s="9"/>
      <c r="M11" s="9">
        <v>0</v>
      </c>
      <c r="N11" s="9"/>
      <c r="O11" s="9">
        <v>0</v>
      </c>
      <c r="P11" s="9"/>
      <c r="Q11" s="9">
        <v>0</v>
      </c>
      <c r="R11" s="9"/>
      <c r="S11" s="9">
        <v>0</v>
      </c>
      <c r="T11" s="9"/>
      <c r="U11" s="9">
        <v>0</v>
      </c>
      <c r="V11" s="9"/>
      <c r="W11" s="9">
        <v>0</v>
      </c>
      <c r="X11" s="9"/>
      <c r="Y11" s="9">
        <v>0</v>
      </c>
      <c r="Z11" s="9"/>
      <c r="AA11" s="9">
        <v>0</v>
      </c>
      <c r="AB11" s="9"/>
      <c r="AC11" s="9">
        <f t="shared" si="0"/>
        <v>0</v>
      </c>
    </row>
    <row r="12" spans="1:29" s="8" customFormat="1" ht="12" hidden="1">
      <c r="A12" s="8" t="s">
        <v>78</v>
      </c>
      <c r="C12" s="8" t="s">
        <v>64</v>
      </c>
      <c r="E12" s="9">
        <v>0</v>
      </c>
      <c r="F12" s="9"/>
      <c r="G12" s="9">
        <v>0</v>
      </c>
      <c r="H12" s="9"/>
      <c r="I12" s="9">
        <v>0</v>
      </c>
      <c r="J12" s="9"/>
      <c r="K12" s="9">
        <v>0</v>
      </c>
      <c r="L12" s="9"/>
      <c r="M12" s="9">
        <v>0</v>
      </c>
      <c r="N12" s="9"/>
      <c r="O12" s="9">
        <v>0</v>
      </c>
      <c r="P12" s="9"/>
      <c r="Q12" s="9">
        <v>0</v>
      </c>
      <c r="R12" s="9"/>
      <c r="S12" s="9">
        <v>0</v>
      </c>
      <c r="T12" s="9"/>
      <c r="U12" s="9">
        <v>0</v>
      </c>
      <c r="V12" s="9"/>
      <c r="W12" s="9">
        <v>0</v>
      </c>
      <c r="X12" s="9"/>
      <c r="Y12" s="9">
        <v>0</v>
      </c>
      <c r="Z12" s="9"/>
      <c r="AA12" s="9">
        <v>0</v>
      </c>
      <c r="AB12" s="9"/>
      <c r="AC12" s="9">
        <f t="shared" si="0"/>
        <v>0</v>
      </c>
    </row>
    <row r="13" spans="1:29" s="8" customFormat="1" ht="12" hidden="1">
      <c r="A13" s="8" t="s">
        <v>79</v>
      </c>
      <c r="C13" s="8" t="s">
        <v>60</v>
      </c>
      <c r="E13" s="9">
        <v>0</v>
      </c>
      <c r="F13" s="9"/>
      <c r="G13" s="9">
        <v>0</v>
      </c>
      <c r="H13" s="9"/>
      <c r="I13" s="9">
        <v>0</v>
      </c>
      <c r="J13" s="9"/>
      <c r="K13" s="9">
        <v>0</v>
      </c>
      <c r="L13" s="9"/>
      <c r="M13" s="9">
        <v>0</v>
      </c>
      <c r="N13" s="9"/>
      <c r="O13" s="9">
        <v>0</v>
      </c>
      <c r="P13" s="9"/>
      <c r="Q13" s="9">
        <v>0</v>
      </c>
      <c r="R13" s="9"/>
      <c r="S13" s="9">
        <v>0</v>
      </c>
      <c r="T13" s="9"/>
      <c r="U13" s="9">
        <v>0</v>
      </c>
      <c r="V13" s="9"/>
      <c r="W13" s="9">
        <v>0</v>
      </c>
      <c r="X13" s="9"/>
      <c r="Y13" s="9">
        <v>0</v>
      </c>
      <c r="Z13" s="9"/>
      <c r="AA13" s="9">
        <v>0</v>
      </c>
      <c r="AB13" s="9"/>
      <c r="AC13" s="9">
        <f t="shared" si="0"/>
        <v>0</v>
      </c>
    </row>
    <row r="14" spans="1:63" s="8" customFormat="1" ht="12">
      <c r="A14" s="38" t="s">
        <v>77</v>
      </c>
      <c r="B14" s="38"/>
      <c r="C14" s="38" t="s">
        <v>543</v>
      </c>
      <c r="D14" s="38"/>
      <c r="E14" s="38">
        <v>531027.46</v>
      </c>
      <c r="F14" s="38"/>
      <c r="G14" s="38">
        <v>126052.78</v>
      </c>
      <c r="H14" s="38"/>
      <c r="I14" s="38">
        <v>112466.59</v>
      </c>
      <c r="J14" s="38"/>
      <c r="K14" s="38">
        <v>146507.76</v>
      </c>
      <c r="L14" s="38"/>
      <c r="M14" s="38">
        <v>20741.08</v>
      </c>
      <c r="N14" s="38"/>
      <c r="O14" s="38">
        <v>5227.81</v>
      </c>
      <c r="P14" s="38"/>
      <c r="Q14" s="38">
        <v>11982.57</v>
      </c>
      <c r="R14" s="38"/>
      <c r="S14" s="38">
        <v>0</v>
      </c>
      <c r="T14" s="38"/>
      <c r="U14" s="38">
        <v>0</v>
      </c>
      <c r="V14" s="38"/>
      <c r="W14" s="38">
        <v>20000</v>
      </c>
      <c r="X14" s="38"/>
      <c r="Y14" s="38">
        <v>0</v>
      </c>
      <c r="Z14" s="38"/>
      <c r="AA14" s="38">
        <v>0</v>
      </c>
      <c r="AB14" s="38"/>
      <c r="AC14" s="3">
        <f t="shared" si="0"/>
        <v>974006.0499999999</v>
      </c>
      <c r="AD14" s="39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3"/>
    </row>
    <row r="15" spans="1:29" s="9" customFormat="1" ht="12">
      <c r="A15" s="16" t="s">
        <v>491</v>
      </c>
      <c r="B15" s="16"/>
      <c r="C15" s="16" t="s">
        <v>23</v>
      </c>
      <c r="E15" s="9">
        <v>2998784</v>
      </c>
      <c r="G15" s="9">
        <v>0</v>
      </c>
      <c r="I15" s="9">
        <f>27466006-2998784-1423576</f>
        <v>23043646</v>
      </c>
      <c r="K15" s="9">
        <v>0</v>
      </c>
      <c r="M15" s="9">
        <v>0</v>
      </c>
      <c r="O15" s="9">
        <v>0</v>
      </c>
      <c r="Q15" s="9">
        <v>1423576</v>
      </c>
      <c r="S15" s="9">
        <v>0</v>
      </c>
      <c r="U15" s="9">
        <v>0</v>
      </c>
      <c r="W15" s="9">
        <v>638000</v>
      </c>
      <c r="Y15" s="9">
        <v>0</v>
      </c>
      <c r="AA15" s="9">
        <v>0</v>
      </c>
      <c r="AC15" s="9">
        <f t="shared" si="0"/>
        <v>28104006</v>
      </c>
    </row>
    <row r="16" spans="1:29" s="8" customFormat="1" ht="12" hidden="1">
      <c r="A16" s="8" t="s">
        <v>83</v>
      </c>
      <c r="C16" s="8" t="s">
        <v>84</v>
      </c>
      <c r="E16" s="9">
        <v>0</v>
      </c>
      <c r="F16" s="9"/>
      <c r="G16" s="9">
        <v>0</v>
      </c>
      <c r="H16" s="9"/>
      <c r="I16" s="9">
        <v>0</v>
      </c>
      <c r="J16" s="9"/>
      <c r="K16" s="9">
        <v>0</v>
      </c>
      <c r="L16" s="9"/>
      <c r="M16" s="9">
        <v>0</v>
      </c>
      <c r="N16" s="9"/>
      <c r="O16" s="9">
        <v>0</v>
      </c>
      <c r="P16" s="9"/>
      <c r="Q16" s="9">
        <v>0</v>
      </c>
      <c r="R16" s="9"/>
      <c r="S16" s="9">
        <v>0</v>
      </c>
      <c r="T16" s="9"/>
      <c r="U16" s="9">
        <v>0</v>
      </c>
      <c r="V16" s="9"/>
      <c r="W16" s="9">
        <v>0</v>
      </c>
      <c r="X16" s="9"/>
      <c r="Y16" s="9">
        <v>0</v>
      </c>
      <c r="Z16" s="9"/>
      <c r="AA16" s="9">
        <v>0</v>
      </c>
      <c r="AB16" s="9"/>
      <c r="AC16" s="9">
        <f t="shared" si="0"/>
        <v>0</v>
      </c>
    </row>
    <row r="17" spans="1:29" s="8" customFormat="1" ht="12" hidden="1">
      <c r="A17" s="8" t="s">
        <v>85</v>
      </c>
      <c r="C17" s="8" t="s">
        <v>45</v>
      </c>
      <c r="E17" s="9">
        <v>0</v>
      </c>
      <c r="F17" s="9"/>
      <c r="G17" s="9">
        <v>0</v>
      </c>
      <c r="H17" s="9"/>
      <c r="I17" s="9">
        <v>0</v>
      </c>
      <c r="J17" s="9"/>
      <c r="K17" s="9">
        <v>0</v>
      </c>
      <c r="L17" s="9"/>
      <c r="M17" s="9">
        <v>0</v>
      </c>
      <c r="N17" s="9"/>
      <c r="O17" s="9">
        <v>0</v>
      </c>
      <c r="P17" s="9"/>
      <c r="Q17" s="9">
        <v>0</v>
      </c>
      <c r="R17" s="9"/>
      <c r="S17" s="9">
        <v>0</v>
      </c>
      <c r="T17" s="9"/>
      <c r="U17" s="9">
        <v>0</v>
      </c>
      <c r="V17" s="9"/>
      <c r="W17" s="9">
        <v>0</v>
      </c>
      <c r="X17" s="9"/>
      <c r="Y17" s="9">
        <v>0</v>
      </c>
      <c r="Z17" s="9"/>
      <c r="AA17" s="9">
        <v>0</v>
      </c>
      <c r="AB17" s="9"/>
      <c r="AC17" s="9">
        <f t="shared" si="0"/>
        <v>0</v>
      </c>
    </row>
    <row r="18" spans="1:63" s="8" customFormat="1" ht="12">
      <c r="A18" s="38" t="s">
        <v>611</v>
      </c>
      <c r="B18" s="38"/>
      <c r="C18" s="38" t="s">
        <v>573</v>
      </c>
      <c r="D18" s="38"/>
      <c r="E18" s="38">
        <v>160242.59</v>
      </c>
      <c r="F18" s="38"/>
      <c r="G18" s="38">
        <v>24405</v>
      </c>
      <c r="H18" s="38"/>
      <c r="I18" s="38">
        <v>49674.69</v>
      </c>
      <c r="J18" s="38"/>
      <c r="K18" s="38">
        <v>72839.26</v>
      </c>
      <c r="L18" s="38"/>
      <c r="M18" s="38">
        <v>7718.73</v>
      </c>
      <c r="N18" s="38"/>
      <c r="O18" s="38">
        <v>3322.84</v>
      </c>
      <c r="P18" s="38"/>
      <c r="Q18" s="38">
        <v>8413.63</v>
      </c>
      <c r="R18" s="38"/>
      <c r="S18" s="38">
        <v>0</v>
      </c>
      <c r="T18" s="38"/>
      <c r="U18" s="38">
        <v>0</v>
      </c>
      <c r="V18" s="38"/>
      <c r="W18" s="38">
        <v>50000</v>
      </c>
      <c r="X18" s="38"/>
      <c r="Y18" s="38">
        <v>0</v>
      </c>
      <c r="Z18" s="38"/>
      <c r="AA18" s="38">
        <v>0</v>
      </c>
      <c r="AB18" s="38"/>
      <c r="AC18" s="3">
        <f t="shared" si="0"/>
        <v>376616.74</v>
      </c>
      <c r="AD18" s="39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3"/>
    </row>
    <row r="19" spans="1:29" s="8" customFormat="1" ht="12" hidden="1">
      <c r="A19" s="8" t="s">
        <v>383</v>
      </c>
      <c r="C19" s="8" t="s">
        <v>46</v>
      </c>
      <c r="E19" s="9">
        <v>0</v>
      </c>
      <c r="F19" s="9"/>
      <c r="G19" s="9">
        <v>0</v>
      </c>
      <c r="H19" s="9"/>
      <c r="I19" s="9">
        <v>0</v>
      </c>
      <c r="J19" s="9"/>
      <c r="K19" s="9">
        <v>0</v>
      </c>
      <c r="L19" s="9"/>
      <c r="M19" s="9">
        <v>0</v>
      </c>
      <c r="N19" s="9"/>
      <c r="O19" s="9">
        <v>0</v>
      </c>
      <c r="P19" s="9"/>
      <c r="Q19" s="9">
        <v>0</v>
      </c>
      <c r="R19" s="9"/>
      <c r="S19" s="9">
        <v>0</v>
      </c>
      <c r="T19" s="9"/>
      <c r="U19" s="9">
        <v>0</v>
      </c>
      <c r="V19" s="9"/>
      <c r="W19" s="9">
        <v>0</v>
      </c>
      <c r="X19" s="9"/>
      <c r="Y19" s="9">
        <v>0</v>
      </c>
      <c r="Z19" s="9"/>
      <c r="AA19" s="9">
        <v>0</v>
      </c>
      <c r="AB19" s="9"/>
      <c r="AC19" s="9">
        <f t="shared" si="0"/>
        <v>0</v>
      </c>
    </row>
    <row r="20" spans="1:29" s="8" customFormat="1" ht="12" hidden="1">
      <c r="A20" s="8" t="s">
        <v>89</v>
      </c>
      <c r="C20" s="8" t="s">
        <v>47</v>
      </c>
      <c r="E20" s="9">
        <v>0</v>
      </c>
      <c r="F20" s="9"/>
      <c r="G20" s="9">
        <v>0</v>
      </c>
      <c r="H20" s="9"/>
      <c r="I20" s="9">
        <v>0</v>
      </c>
      <c r="J20" s="9"/>
      <c r="K20" s="9">
        <v>0</v>
      </c>
      <c r="L20" s="9"/>
      <c r="M20" s="9">
        <v>0</v>
      </c>
      <c r="N20" s="9"/>
      <c r="O20" s="9">
        <v>0</v>
      </c>
      <c r="P20" s="9"/>
      <c r="Q20" s="9">
        <v>0</v>
      </c>
      <c r="R20" s="9"/>
      <c r="S20" s="9">
        <v>0</v>
      </c>
      <c r="T20" s="9"/>
      <c r="U20" s="9">
        <v>0</v>
      </c>
      <c r="V20" s="9"/>
      <c r="W20" s="9">
        <v>0</v>
      </c>
      <c r="X20" s="9"/>
      <c r="Y20" s="9">
        <v>0</v>
      </c>
      <c r="Z20" s="9"/>
      <c r="AA20" s="9">
        <v>0</v>
      </c>
      <c r="AB20" s="9"/>
      <c r="AC20" s="9">
        <f t="shared" si="0"/>
        <v>0</v>
      </c>
    </row>
    <row r="21" spans="1:63" s="8" customFormat="1" ht="12">
      <c r="A21" s="38" t="s">
        <v>78</v>
      </c>
      <c r="B21" s="38"/>
      <c r="C21" s="38" t="s">
        <v>565</v>
      </c>
      <c r="D21" s="38"/>
      <c r="E21" s="38">
        <v>29425.63</v>
      </c>
      <c r="F21" s="38"/>
      <c r="G21" s="38">
        <v>4721.09</v>
      </c>
      <c r="H21" s="38"/>
      <c r="I21" s="38">
        <v>13906.19</v>
      </c>
      <c r="J21" s="38"/>
      <c r="K21" s="38">
        <v>12854.97</v>
      </c>
      <c r="L21" s="38"/>
      <c r="M21" s="38">
        <v>2052.03</v>
      </c>
      <c r="N21" s="38"/>
      <c r="O21" s="38">
        <v>2053.38</v>
      </c>
      <c r="P21" s="38"/>
      <c r="Q21" s="38">
        <v>21938.51</v>
      </c>
      <c r="R21" s="38"/>
      <c r="S21" s="38">
        <v>0</v>
      </c>
      <c r="T21" s="38"/>
      <c r="U21" s="38">
        <v>0</v>
      </c>
      <c r="V21" s="38"/>
      <c r="W21" s="38">
        <v>0</v>
      </c>
      <c r="X21" s="38"/>
      <c r="Y21" s="38">
        <v>0</v>
      </c>
      <c r="Z21" s="38"/>
      <c r="AA21" s="38">
        <v>533.65</v>
      </c>
      <c r="AB21" s="38"/>
      <c r="AC21" s="3">
        <f t="shared" si="0"/>
        <v>87485.45</v>
      </c>
      <c r="AD21" s="39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3"/>
    </row>
    <row r="22" spans="1:63" s="28" customFormat="1" ht="12.75" hidden="1">
      <c r="A22" s="8" t="s">
        <v>411</v>
      </c>
      <c r="B22" s="8"/>
      <c r="C22" s="9" t="s">
        <v>488</v>
      </c>
      <c r="D22" s="9"/>
      <c r="E22" s="9">
        <v>0</v>
      </c>
      <c r="F22" s="9"/>
      <c r="G22" s="9">
        <v>0</v>
      </c>
      <c r="H22" s="9"/>
      <c r="I22" s="9">
        <v>0</v>
      </c>
      <c r="J22" s="9"/>
      <c r="K22" s="9">
        <v>0</v>
      </c>
      <c r="L22" s="9"/>
      <c r="M22" s="9">
        <v>0</v>
      </c>
      <c r="N22" s="9"/>
      <c r="O22" s="9">
        <v>0</v>
      </c>
      <c r="P22" s="9"/>
      <c r="Q22" s="9">
        <v>0</v>
      </c>
      <c r="R22" s="9"/>
      <c r="S22" s="9">
        <v>0</v>
      </c>
      <c r="T22" s="9"/>
      <c r="U22" s="9">
        <v>0</v>
      </c>
      <c r="V22" s="9"/>
      <c r="W22" s="9">
        <v>0</v>
      </c>
      <c r="X22" s="9"/>
      <c r="Y22" s="9">
        <v>0</v>
      </c>
      <c r="Z22" s="9"/>
      <c r="AA22" s="9">
        <v>0</v>
      </c>
      <c r="AB22" s="9"/>
      <c r="AC22" s="9">
        <f t="shared" si="0"/>
        <v>0</v>
      </c>
      <c r="AD22" s="25"/>
      <c r="AE22" s="26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</row>
    <row r="23" spans="1:63" s="8" customFormat="1" ht="12">
      <c r="A23" s="38" t="s">
        <v>513</v>
      </c>
      <c r="B23" s="38"/>
      <c r="C23" s="38" t="s">
        <v>574</v>
      </c>
      <c r="D23" s="38"/>
      <c r="E23" s="38">
        <v>506573.77</v>
      </c>
      <c r="F23" s="38"/>
      <c r="G23" s="38">
        <v>106393.76</v>
      </c>
      <c r="H23" s="38"/>
      <c r="I23" s="38">
        <v>175651.12</v>
      </c>
      <c r="J23" s="38"/>
      <c r="K23" s="38">
        <v>202673.21</v>
      </c>
      <c r="L23" s="38"/>
      <c r="M23" s="38">
        <v>24153.93</v>
      </c>
      <c r="N23" s="38"/>
      <c r="O23" s="38">
        <v>7762.3</v>
      </c>
      <c r="P23" s="38"/>
      <c r="Q23" s="38">
        <v>30530.67</v>
      </c>
      <c r="R23" s="38"/>
      <c r="S23" s="38">
        <v>0</v>
      </c>
      <c r="T23" s="38"/>
      <c r="U23" s="38">
        <v>0</v>
      </c>
      <c r="V23" s="38"/>
      <c r="W23" s="38">
        <v>158490.76</v>
      </c>
      <c r="X23" s="38"/>
      <c r="Y23" s="38">
        <v>0</v>
      </c>
      <c r="Z23" s="38"/>
      <c r="AA23" s="38">
        <v>0</v>
      </c>
      <c r="AB23" s="38"/>
      <c r="AC23" s="3">
        <f t="shared" si="0"/>
        <v>1212229.52</v>
      </c>
      <c r="AD23" s="39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3"/>
    </row>
    <row r="24" spans="1:29" s="8" customFormat="1" ht="12" hidden="1">
      <c r="A24" s="8" t="s">
        <v>91</v>
      </c>
      <c r="C24" s="8" t="s">
        <v>14</v>
      </c>
      <c r="E24" s="9">
        <v>0</v>
      </c>
      <c r="F24" s="9"/>
      <c r="G24" s="9">
        <v>0</v>
      </c>
      <c r="H24" s="9"/>
      <c r="I24" s="9">
        <v>0</v>
      </c>
      <c r="J24" s="9"/>
      <c r="K24" s="9">
        <v>0</v>
      </c>
      <c r="L24" s="9"/>
      <c r="M24" s="9">
        <v>0</v>
      </c>
      <c r="N24" s="9"/>
      <c r="O24" s="9">
        <v>0</v>
      </c>
      <c r="P24" s="9"/>
      <c r="Q24" s="9">
        <v>0</v>
      </c>
      <c r="R24" s="9"/>
      <c r="S24" s="9">
        <v>0</v>
      </c>
      <c r="T24" s="9"/>
      <c r="U24" s="9">
        <v>0</v>
      </c>
      <c r="V24" s="9"/>
      <c r="W24" s="9">
        <v>0</v>
      </c>
      <c r="X24" s="9"/>
      <c r="Y24" s="9">
        <v>0</v>
      </c>
      <c r="Z24" s="9"/>
      <c r="AA24" s="9">
        <v>0</v>
      </c>
      <c r="AB24" s="9"/>
      <c r="AC24" s="9">
        <f t="shared" si="0"/>
        <v>0</v>
      </c>
    </row>
    <row r="25" spans="1:29" s="8" customFormat="1" ht="12">
      <c r="A25" s="8" t="s">
        <v>80</v>
      </c>
      <c r="C25" s="8" t="s">
        <v>81</v>
      </c>
      <c r="E25" s="9">
        <v>899196</v>
      </c>
      <c r="F25" s="9"/>
      <c r="G25" s="9">
        <v>243203</v>
      </c>
      <c r="H25" s="9"/>
      <c r="I25" s="9">
        <v>335207</v>
      </c>
      <c r="J25" s="9"/>
      <c r="K25" s="9">
        <v>341629</v>
      </c>
      <c r="L25" s="9"/>
      <c r="M25" s="9">
        <v>68911</v>
      </c>
      <c r="N25" s="9"/>
      <c r="O25" s="9">
        <v>11502</v>
      </c>
      <c r="P25" s="9"/>
      <c r="Q25" s="9">
        <v>253199</v>
      </c>
      <c r="R25" s="9"/>
      <c r="S25" s="9">
        <v>0</v>
      </c>
      <c r="T25" s="9"/>
      <c r="U25" s="9">
        <v>0</v>
      </c>
      <c r="V25" s="9"/>
      <c r="W25" s="9">
        <v>0</v>
      </c>
      <c r="X25" s="9"/>
      <c r="Y25" s="9">
        <v>0</v>
      </c>
      <c r="Z25" s="9"/>
      <c r="AA25" s="9">
        <v>0</v>
      </c>
      <c r="AB25" s="9"/>
      <c r="AC25" s="9">
        <f t="shared" si="0"/>
        <v>2152847</v>
      </c>
    </row>
    <row r="26" spans="1:29" s="8" customFormat="1" ht="12">
      <c r="A26" s="8" t="s">
        <v>82</v>
      </c>
      <c r="C26" s="8" t="s">
        <v>46</v>
      </c>
      <c r="E26" s="9">
        <v>138901</v>
      </c>
      <c r="F26" s="9"/>
      <c r="G26" s="9">
        <v>50585</v>
      </c>
      <c r="H26" s="9"/>
      <c r="I26" s="9">
        <v>56432</v>
      </c>
      <c r="J26" s="9"/>
      <c r="K26" s="9">
        <v>29371</v>
      </c>
      <c r="L26" s="9"/>
      <c r="M26" s="9">
        <v>11255</v>
      </c>
      <c r="N26" s="9"/>
      <c r="O26" s="9">
        <v>3350</v>
      </c>
      <c r="P26" s="9"/>
      <c r="Q26" s="9">
        <v>25039</v>
      </c>
      <c r="R26" s="9"/>
      <c r="S26" s="9">
        <v>0</v>
      </c>
      <c r="T26" s="9"/>
      <c r="U26" s="9">
        <v>0</v>
      </c>
      <c r="V26" s="9"/>
      <c r="W26" s="9">
        <v>10000</v>
      </c>
      <c r="X26" s="9"/>
      <c r="Y26" s="9">
        <v>0</v>
      </c>
      <c r="Z26" s="9"/>
      <c r="AA26" s="9">
        <v>2817</v>
      </c>
      <c r="AB26" s="9"/>
      <c r="AC26" s="9">
        <f t="shared" si="0"/>
        <v>327750</v>
      </c>
    </row>
    <row r="27" spans="1:63" s="8" customFormat="1" ht="12">
      <c r="A27" s="38" t="s">
        <v>83</v>
      </c>
      <c r="B27" s="38"/>
      <c r="C27" s="38" t="s">
        <v>558</v>
      </c>
      <c r="D27" s="38"/>
      <c r="E27" s="38">
        <v>164734.14</v>
      </c>
      <c r="F27" s="38"/>
      <c r="G27" s="38">
        <v>25351.32</v>
      </c>
      <c r="H27" s="38"/>
      <c r="I27" s="38">
        <v>36176.63</v>
      </c>
      <c r="J27" s="38"/>
      <c r="K27" s="38">
        <v>62418.86</v>
      </c>
      <c r="L27" s="38"/>
      <c r="M27" s="38">
        <v>11262.86</v>
      </c>
      <c r="N27" s="38"/>
      <c r="O27" s="38">
        <v>1131</v>
      </c>
      <c r="P27" s="38"/>
      <c r="Q27" s="38">
        <v>6718.41</v>
      </c>
      <c r="R27" s="38"/>
      <c r="S27" s="38">
        <v>0</v>
      </c>
      <c r="T27" s="38"/>
      <c r="U27" s="38">
        <v>0</v>
      </c>
      <c r="V27" s="38"/>
      <c r="W27" s="38">
        <v>0</v>
      </c>
      <c r="X27" s="38"/>
      <c r="Y27" s="38">
        <v>0</v>
      </c>
      <c r="Z27" s="38"/>
      <c r="AA27" s="38">
        <v>0</v>
      </c>
      <c r="AB27" s="38"/>
      <c r="AC27" s="3">
        <f t="shared" si="0"/>
        <v>307793.22</v>
      </c>
      <c r="AD27" s="39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3"/>
    </row>
    <row r="28" spans="1:63" s="8" customFormat="1" ht="12">
      <c r="A28" s="38" t="s">
        <v>85</v>
      </c>
      <c r="B28" s="38"/>
      <c r="C28" s="38" t="s">
        <v>562</v>
      </c>
      <c r="D28" s="38"/>
      <c r="E28" s="38">
        <v>211836.22</v>
      </c>
      <c r="F28" s="38"/>
      <c r="G28" s="38">
        <v>65268.3</v>
      </c>
      <c r="H28" s="38"/>
      <c r="I28" s="38">
        <v>75220.02</v>
      </c>
      <c r="J28" s="38"/>
      <c r="K28" s="38">
        <v>47369.71</v>
      </c>
      <c r="L28" s="38"/>
      <c r="M28" s="38">
        <v>11182.14</v>
      </c>
      <c r="N28" s="38"/>
      <c r="O28" s="38">
        <v>950</v>
      </c>
      <c r="P28" s="38"/>
      <c r="Q28" s="38">
        <v>1296.63</v>
      </c>
      <c r="R28" s="38"/>
      <c r="S28" s="38">
        <v>0</v>
      </c>
      <c r="T28" s="38"/>
      <c r="U28" s="38">
        <v>0</v>
      </c>
      <c r="V28" s="38"/>
      <c r="W28" s="38">
        <v>42821.35</v>
      </c>
      <c r="X28" s="38"/>
      <c r="Y28" s="38">
        <v>0</v>
      </c>
      <c r="Z28" s="38"/>
      <c r="AA28" s="38">
        <v>0</v>
      </c>
      <c r="AB28" s="38"/>
      <c r="AC28" s="3">
        <f t="shared" si="0"/>
        <v>455944.37000000005</v>
      </c>
      <c r="AD28" s="39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3"/>
    </row>
    <row r="29" spans="1:29" s="8" customFormat="1" ht="12">
      <c r="A29" s="8" t="s">
        <v>86</v>
      </c>
      <c r="C29" s="8" t="s">
        <v>87</v>
      </c>
      <c r="E29" s="9">
        <v>179180</v>
      </c>
      <c r="F29" s="9"/>
      <c r="G29" s="9">
        <v>0</v>
      </c>
      <c r="H29" s="9"/>
      <c r="I29" s="9">
        <f>1387513-179180</f>
        <v>1208333</v>
      </c>
      <c r="J29" s="9"/>
      <c r="K29" s="9">
        <v>0</v>
      </c>
      <c r="L29" s="9"/>
      <c r="M29" s="9">
        <v>0</v>
      </c>
      <c r="N29" s="9"/>
      <c r="O29" s="9">
        <v>0</v>
      </c>
      <c r="P29" s="9"/>
      <c r="Q29" s="9">
        <v>0</v>
      </c>
      <c r="R29" s="9"/>
      <c r="S29" s="9">
        <v>0</v>
      </c>
      <c r="T29" s="9"/>
      <c r="U29" s="9">
        <v>0</v>
      </c>
      <c r="V29" s="9"/>
      <c r="W29" s="9">
        <v>0</v>
      </c>
      <c r="X29" s="9"/>
      <c r="Y29" s="9">
        <v>0</v>
      </c>
      <c r="Z29" s="9"/>
      <c r="AA29" s="9">
        <v>0</v>
      </c>
      <c r="AB29" s="9"/>
      <c r="AC29" s="9">
        <f t="shared" si="0"/>
        <v>1387513</v>
      </c>
    </row>
    <row r="30" spans="1:63" s="8" customFormat="1" ht="12">
      <c r="A30" s="38" t="s">
        <v>383</v>
      </c>
      <c r="B30" s="38"/>
      <c r="C30" s="38" t="s">
        <v>545</v>
      </c>
      <c r="D30" s="38"/>
      <c r="E30" s="38">
        <v>772136.55</v>
      </c>
      <c r="F30" s="38"/>
      <c r="G30" s="38">
        <v>301557.12</v>
      </c>
      <c r="H30" s="38"/>
      <c r="I30" s="38">
        <v>276377.51</v>
      </c>
      <c r="J30" s="38"/>
      <c r="K30" s="38">
        <v>233190.72</v>
      </c>
      <c r="L30" s="38"/>
      <c r="M30" s="38">
        <v>47813.83</v>
      </c>
      <c r="N30" s="38"/>
      <c r="O30" s="38">
        <v>15891.55</v>
      </c>
      <c r="P30" s="38"/>
      <c r="Q30" s="38">
        <v>41500</v>
      </c>
      <c r="R30" s="38"/>
      <c r="S30" s="38">
        <v>0</v>
      </c>
      <c r="T30" s="38"/>
      <c r="U30" s="38">
        <v>0</v>
      </c>
      <c r="V30" s="38"/>
      <c r="W30" s="38">
        <v>16290</v>
      </c>
      <c r="X30" s="38"/>
      <c r="Y30" s="38">
        <v>0</v>
      </c>
      <c r="Z30" s="38"/>
      <c r="AA30" s="38">
        <v>6182</v>
      </c>
      <c r="AB30" s="38"/>
      <c r="AC30" s="3">
        <f t="shared" si="0"/>
        <v>1710939.28</v>
      </c>
      <c r="AD30" s="39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3"/>
    </row>
    <row r="31" spans="1:29" s="8" customFormat="1" ht="12" hidden="1">
      <c r="A31" s="8" t="s">
        <v>102</v>
      </c>
      <c r="C31" s="8" t="s">
        <v>48</v>
      </c>
      <c r="E31" s="9">
        <v>0</v>
      </c>
      <c r="F31" s="9"/>
      <c r="G31" s="9">
        <v>0</v>
      </c>
      <c r="H31" s="9"/>
      <c r="I31" s="9">
        <v>0</v>
      </c>
      <c r="J31" s="9"/>
      <c r="K31" s="9">
        <v>0</v>
      </c>
      <c r="L31" s="9"/>
      <c r="M31" s="9">
        <v>0</v>
      </c>
      <c r="N31" s="9"/>
      <c r="O31" s="9">
        <v>0</v>
      </c>
      <c r="P31" s="9"/>
      <c r="Q31" s="9">
        <v>0</v>
      </c>
      <c r="R31" s="9"/>
      <c r="S31" s="9">
        <v>0</v>
      </c>
      <c r="T31" s="9"/>
      <c r="U31" s="9">
        <v>0</v>
      </c>
      <c r="V31" s="9"/>
      <c r="W31" s="9">
        <v>0</v>
      </c>
      <c r="X31" s="9"/>
      <c r="Y31" s="9">
        <v>0</v>
      </c>
      <c r="Z31" s="9"/>
      <c r="AA31" s="9">
        <v>0</v>
      </c>
      <c r="AB31" s="9"/>
      <c r="AC31" s="9">
        <f t="shared" si="0"/>
        <v>0</v>
      </c>
    </row>
    <row r="32" spans="1:29" s="8" customFormat="1" ht="12" hidden="1">
      <c r="A32" s="8" t="s">
        <v>344</v>
      </c>
      <c r="C32" s="8" t="s">
        <v>104</v>
      </c>
      <c r="E32" s="9">
        <v>0</v>
      </c>
      <c r="F32" s="9"/>
      <c r="G32" s="9">
        <v>0</v>
      </c>
      <c r="H32" s="9"/>
      <c r="I32" s="9">
        <v>0</v>
      </c>
      <c r="J32" s="9"/>
      <c r="K32" s="9">
        <v>0</v>
      </c>
      <c r="L32" s="9"/>
      <c r="M32" s="9">
        <v>0</v>
      </c>
      <c r="N32" s="9"/>
      <c r="O32" s="9">
        <v>0</v>
      </c>
      <c r="P32" s="9"/>
      <c r="Q32" s="9">
        <v>0</v>
      </c>
      <c r="R32" s="9"/>
      <c r="S32" s="9">
        <v>0</v>
      </c>
      <c r="T32" s="9"/>
      <c r="U32" s="9">
        <v>0</v>
      </c>
      <c r="V32" s="9"/>
      <c r="W32" s="9">
        <v>0</v>
      </c>
      <c r="X32" s="9"/>
      <c r="Y32" s="9">
        <v>0</v>
      </c>
      <c r="Z32" s="9"/>
      <c r="AA32" s="9">
        <v>0</v>
      </c>
      <c r="AB32" s="9"/>
      <c r="AC32" s="9">
        <f t="shared" si="0"/>
        <v>0</v>
      </c>
    </row>
    <row r="33" spans="1:29" s="8" customFormat="1" ht="12" hidden="1">
      <c r="A33" s="8" t="s">
        <v>105</v>
      </c>
      <c r="C33" s="8" t="s">
        <v>49</v>
      </c>
      <c r="E33" s="9">
        <v>0</v>
      </c>
      <c r="F33" s="9"/>
      <c r="G33" s="9">
        <v>0</v>
      </c>
      <c r="H33" s="9"/>
      <c r="I33" s="9">
        <v>0</v>
      </c>
      <c r="J33" s="9"/>
      <c r="K33" s="9">
        <v>0</v>
      </c>
      <c r="L33" s="9"/>
      <c r="M33" s="9">
        <v>0</v>
      </c>
      <c r="N33" s="9"/>
      <c r="O33" s="9">
        <v>0</v>
      </c>
      <c r="P33" s="9"/>
      <c r="Q33" s="9">
        <v>0</v>
      </c>
      <c r="R33" s="9"/>
      <c r="S33" s="9">
        <v>0</v>
      </c>
      <c r="T33" s="9"/>
      <c r="U33" s="9">
        <v>0</v>
      </c>
      <c r="V33" s="9"/>
      <c r="W33" s="9">
        <v>0</v>
      </c>
      <c r="X33" s="9"/>
      <c r="Y33" s="9">
        <v>0</v>
      </c>
      <c r="Z33" s="9"/>
      <c r="AA33" s="9">
        <v>0</v>
      </c>
      <c r="AB33" s="9"/>
      <c r="AC33" s="9">
        <f t="shared" si="0"/>
        <v>0</v>
      </c>
    </row>
    <row r="34" spans="1:29" s="8" customFormat="1" ht="12" hidden="1">
      <c r="A34" s="8" t="s">
        <v>106</v>
      </c>
      <c r="C34" s="8" t="s">
        <v>56</v>
      </c>
      <c r="E34" s="9">
        <v>0</v>
      </c>
      <c r="F34" s="9"/>
      <c r="G34" s="9">
        <v>0</v>
      </c>
      <c r="H34" s="9"/>
      <c r="I34" s="9">
        <v>0</v>
      </c>
      <c r="J34" s="9"/>
      <c r="K34" s="9">
        <v>0</v>
      </c>
      <c r="L34" s="9"/>
      <c r="M34" s="9">
        <v>0</v>
      </c>
      <c r="N34" s="9"/>
      <c r="O34" s="9">
        <v>0</v>
      </c>
      <c r="P34" s="9"/>
      <c r="Q34" s="9">
        <v>0</v>
      </c>
      <c r="R34" s="9"/>
      <c r="S34" s="9">
        <v>0</v>
      </c>
      <c r="T34" s="9"/>
      <c r="U34" s="9">
        <v>0</v>
      </c>
      <c r="V34" s="9"/>
      <c r="W34" s="9">
        <v>0</v>
      </c>
      <c r="X34" s="9"/>
      <c r="Y34" s="9">
        <v>0</v>
      </c>
      <c r="Z34" s="9"/>
      <c r="AA34" s="9">
        <v>0</v>
      </c>
      <c r="AB34" s="9"/>
      <c r="AC34" s="9">
        <f t="shared" si="0"/>
        <v>0</v>
      </c>
    </row>
    <row r="35" spans="1:63" s="8" customFormat="1" ht="12">
      <c r="A35" s="38" t="s">
        <v>89</v>
      </c>
      <c r="B35" s="38"/>
      <c r="C35" s="38" t="s">
        <v>547</v>
      </c>
      <c r="D35" s="38"/>
      <c r="E35" s="38">
        <v>572760.55</v>
      </c>
      <c r="F35" s="38"/>
      <c r="G35" s="38">
        <v>147115.62</v>
      </c>
      <c r="H35" s="38"/>
      <c r="I35" s="38">
        <v>198548.75</v>
      </c>
      <c r="J35" s="38"/>
      <c r="K35" s="38">
        <v>215957.53</v>
      </c>
      <c r="L35" s="38"/>
      <c r="M35" s="38">
        <v>33106.1</v>
      </c>
      <c r="N35" s="38"/>
      <c r="O35" s="38">
        <v>7829.29</v>
      </c>
      <c r="P35" s="38"/>
      <c r="Q35" s="38">
        <v>44547.47</v>
      </c>
      <c r="R35" s="38"/>
      <c r="S35" s="38">
        <v>0</v>
      </c>
      <c r="T35" s="38"/>
      <c r="U35" s="38">
        <v>0</v>
      </c>
      <c r="V35" s="38"/>
      <c r="W35" s="38">
        <v>45000</v>
      </c>
      <c r="X35" s="38"/>
      <c r="Y35" s="38">
        <v>0</v>
      </c>
      <c r="Z35" s="38"/>
      <c r="AA35" s="38">
        <v>0</v>
      </c>
      <c r="AB35" s="38"/>
      <c r="AC35" s="3">
        <f t="shared" si="0"/>
        <v>1264865.31</v>
      </c>
      <c r="AD35" s="39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3"/>
    </row>
    <row r="36" spans="1:29" s="8" customFormat="1" ht="12">
      <c r="A36" s="8" t="s">
        <v>90</v>
      </c>
      <c r="C36" s="8" t="s">
        <v>60</v>
      </c>
      <c r="E36" s="9">
        <v>403583</v>
      </c>
      <c r="F36" s="9"/>
      <c r="G36" s="9">
        <v>0</v>
      </c>
      <c r="H36" s="9"/>
      <c r="I36" s="9">
        <f>2389974-403583</f>
        <v>1986391</v>
      </c>
      <c r="J36" s="9"/>
      <c r="K36" s="9">
        <v>0</v>
      </c>
      <c r="L36" s="9"/>
      <c r="M36" s="9">
        <v>0</v>
      </c>
      <c r="N36" s="9"/>
      <c r="O36" s="9">
        <v>0</v>
      </c>
      <c r="P36" s="9"/>
      <c r="Q36" s="9">
        <v>0</v>
      </c>
      <c r="R36" s="9"/>
      <c r="S36" s="9">
        <v>0</v>
      </c>
      <c r="T36" s="9"/>
      <c r="U36" s="9">
        <v>0</v>
      </c>
      <c r="V36" s="9"/>
      <c r="W36" s="9">
        <v>0</v>
      </c>
      <c r="X36" s="9"/>
      <c r="Y36" s="9">
        <v>0</v>
      </c>
      <c r="Z36" s="9"/>
      <c r="AA36" s="9">
        <v>0</v>
      </c>
      <c r="AB36" s="9"/>
      <c r="AC36" s="9">
        <f t="shared" si="0"/>
        <v>2389974</v>
      </c>
    </row>
    <row r="37" spans="1:63" s="8" customFormat="1" ht="12">
      <c r="A37" s="38" t="s">
        <v>514</v>
      </c>
      <c r="B37" s="38"/>
      <c r="C37" s="38" t="s">
        <v>595</v>
      </c>
      <c r="D37" s="38"/>
      <c r="E37" s="38">
        <v>739020.71</v>
      </c>
      <c r="F37" s="38"/>
      <c r="G37" s="38">
        <v>204336.67</v>
      </c>
      <c r="H37" s="38"/>
      <c r="I37" s="38">
        <v>195323.02</v>
      </c>
      <c r="J37" s="38"/>
      <c r="K37" s="38">
        <v>175315.08</v>
      </c>
      <c r="L37" s="38"/>
      <c r="M37" s="38">
        <v>18307.24</v>
      </c>
      <c r="N37" s="38"/>
      <c r="O37" s="38">
        <v>11641.02</v>
      </c>
      <c r="P37" s="38"/>
      <c r="Q37" s="38">
        <v>19564.8</v>
      </c>
      <c r="R37" s="38"/>
      <c r="S37" s="38">
        <v>0</v>
      </c>
      <c r="T37" s="38"/>
      <c r="U37" s="38">
        <v>0</v>
      </c>
      <c r="V37" s="38"/>
      <c r="W37" s="38">
        <v>211000</v>
      </c>
      <c r="X37" s="38"/>
      <c r="Y37" s="38">
        <v>0</v>
      </c>
      <c r="Z37" s="38"/>
      <c r="AA37" s="38">
        <v>0</v>
      </c>
      <c r="AB37" s="38"/>
      <c r="AC37" s="3">
        <f t="shared" si="0"/>
        <v>1574508.54</v>
      </c>
      <c r="AD37" s="39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3"/>
    </row>
    <row r="38" spans="1:29" s="8" customFormat="1" ht="12" hidden="1">
      <c r="A38" s="8" t="s">
        <v>111</v>
      </c>
      <c r="C38" s="8" t="s">
        <v>18</v>
      </c>
      <c r="E38" s="9">
        <v>0</v>
      </c>
      <c r="F38" s="9"/>
      <c r="G38" s="9">
        <v>0</v>
      </c>
      <c r="H38" s="9"/>
      <c r="I38" s="9">
        <v>0</v>
      </c>
      <c r="J38" s="9"/>
      <c r="K38" s="9">
        <v>0</v>
      </c>
      <c r="L38" s="9"/>
      <c r="M38" s="9">
        <v>0</v>
      </c>
      <c r="N38" s="9"/>
      <c r="O38" s="9">
        <v>0</v>
      </c>
      <c r="P38" s="9"/>
      <c r="Q38" s="9">
        <v>0</v>
      </c>
      <c r="R38" s="9"/>
      <c r="S38" s="9">
        <v>0</v>
      </c>
      <c r="T38" s="9"/>
      <c r="U38" s="9">
        <v>0</v>
      </c>
      <c r="V38" s="9"/>
      <c r="W38" s="9">
        <v>0</v>
      </c>
      <c r="X38" s="9"/>
      <c r="Y38" s="9">
        <v>0</v>
      </c>
      <c r="Z38" s="9"/>
      <c r="AA38" s="9">
        <v>0</v>
      </c>
      <c r="AB38" s="9"/>
      <c r="AC38" s="9">
        <f t="shared" si="0"/>
        <v>0</v>
      </c>
    </row>
    <row r="39" spans="1:29" s="8" customFormat="1" ht="12" hidden="1">
      <c r="A39" s="8" t="s">
        <v>112</v>
      </c>
      <c r="C39" s="8" t="s">
        <v>113</v>
      </c>
      <c r="E39" s="9">
        <v>0</v>
      </c>
      <c r="F39" s="9"/>
      <c r="G39" s="9">
        <v>0</v>
      </c>
      <c r="H39" s="9"/>
      <c r="I39" s="9">
        <v>0</v>
      </c>
      <c r="J39" s="9"/>
      <c r="K39" s="9">
        <v>0</v>
      </c>
      <c r="L39" s="9"/>
      <c r="M39" s="9">
        <v>0</v>
      </c>
      <c r="N39" s="9"/>
      <c r="O39" s="9">
        <v>0</v>
      </c>
      <c r="P39" s="9"/>
      <c r="Q39" s="9">
        <v>0</v>
      </c>
      <c r="R39" s="9"/>
      <c r="S39" s="9">
        <v>0</v>
      </c>
      <c r="T39" s="9"/>
      <c r="U39" s="9">
        <v>0</v>
      </c>
      <c r="V39" s="9"/>
      <c r="W39" s="9">
        <v>0</v>
      </c>
      <c r="X39" s="9"/>
      <c r="Y39" s="9">
        <v>0</v>
      </c>
      <c r="Z39" s="9"/>
      <c r="AA39" s="9">
        <v>0</v>
      </c>
      <c r="AB39" s="9"/>
      <c r="AC39" s="9">
        <f t="shared" si="0"/>
        <v>0</v>
      </c>
    </row>
    <row r="40" spans="1:29" s="8" customFormat="1" ht="12" hidden="1">
      <c r="A40" s="8" t="s">
        <v>114</v>
      </c>
      <c r="C40" s="8" t="s">
        <v>26</v>
      </c>
      <c r="E40" s="9">
        <v>0</v>
      </c>
      <c r="F40" s="9"/>
      <c r="G40" s="9">
        <v>0</v>
      </c>
      <c r="H40" s="9"/>
      <c r="I40" s="9">
        <v>0</v>
      </c>
      <c r="J40" s="9"/>
      <c r="K40" s="9">
        <v>0</v>
      </c>
      <c r="L40" s="9"/>
      <c r="M40" s="9">
        <v>0</v>
      </c>
      <c r="N40" s="9"/>
      <c r="O40" s="9">
        <v>0</v>
      </c>
      <c r="P40" s="9"/>
      <c r="Q40" s="9">
        <v>0</v>
      </c>
      <c r="R40" s="9"/>
      <c r="S40" s="9">
        <v>0</v>
      </c>
      <c r="T40" s="9"/>
      <c r="U40" s="9">
        <v>0</v>
      </c>
      <c r="V40" s="9"/>
      <c r="W40" s="9">
        <v>0</v>
      </c>
      <c r="X40" s="9"/>
      <c r="Y40" s="9">
        <v>0</v>
      </c>
      <c r="Z40" s="9"/>
      <c r="AA40" s="9">
        <v>0</v>
      </c>
      <c r="AB40" s="9"/>
      <c r="AC40" s="9">
        <f aca="true" t="shared" si="1" ref="AC40:AC71">SUM(E40:AA40)</f>
        <v>0</v>
      </c>
    </row>
    <row r="41" spans="1:29" s="8" customFormat="1" ht="12">
      <c r="A41" s="8" t="s">
        <v>22</v>
      </c>
      <c r="C41" s="8" t="s">
        <v>14</v>
      </c>
      <c r="E41" s="9">
        <v>334291</v>
      </c>
      <c r="F41" s="9"/>
      <c r="G41" s="9">
        <v>0</v>
      </c>
      <c r="H41" s="9"/>
      <c r="I41" s="9">
        <v>83235</v>
      </c>
      <c r="J41" s="9"/>
      <c r="K41" s="9">
        <v>80694</v>
      </c>
      <c r="L41" s="9"/>
      <c r="M41" s="9">
        <v>0</v>
      </c>
      <c r="N41" s="9"/>
      <c r="O41" s="9">
        <v>2091</v>
      </c>
      <c r="P41" s="9"/>
      <c r="Q41" s="9">
        <v>8494</v>
      </c>
      <c r="R41" s="9"/>
      <c r="S41" s="9">
        <v>0</v>
      </c>
      <c r="T41" s="9"/>
      <c r="U41" s="9">
        <v>0</v>
      </c>
      <c r="V41" s="9"/>
      <c r="W41" s="9">
        <v>35000</v>
      </c>
      <c r="X41" s="9"/>
      <c r="Y41" s="9">
        <v>0</v>
      </c>
      <c r="Z41" s="9"/>
      <c r="AA41" s="9">
        <v>0</v>
      </c>
      <c r="AB41" s="9"/>
      <c r="AC41" s="9">
        <f t="shared" si="1"/>
        <v>543805</v>
      </c>
    </row>
    <row r="42" spans="1:63" s="8" customFormat="1" ht="12">
      <c r="A42" s="38" t="s">
        <v>91</v>
      </c>
      <c r="B42" s="38"/>
      <c r="C42" s="38" t="s">
        <v>548</v>
      </c>
      <c r="D42" s="38"/>
      <c r="E42" s="38">
        <v>261162.72</v>
      </c>
      <c r="F42" s="38"/>
      <c r="G42" s="38">
        <v>101676.66</v>
      </c>
      <c r="H42" s="38"/>
      <c r="I42" s="38">
        <v>51643.41</v>
      </c>
      <c r="J42" s="38"/>
      <c r="K42" s="38">
        <v>119142.86</v>
      </c>
      <c r="L42" s="38"/>
      <c r="M42" s="38">
        <v>20554.72</v>
      </c>
      <c r="N42" s="38"/>
      <c r="O42" s="38">
        <v>10646</v>
      </c>
      <c r="P42" s="38"/>
      <c r="Q42" s="38">
        <v>12355.44</v>
      </c>
      <c r="R42" s="38"/>
      <c r="S42" s="38">
        <v>0</v>
      </c>
      <c r="T42" s="38"/>
      <c r="U42" s="38">
        <v>0</v>
      </c>
      <c r="V42" s="38"/>
      <c r="W42" s="38">
        <v>0</v>
      </c>
      <c r="X42" s="38"/>
      <c r="Y42" s="38">
        <v>0</v>
      </c>
      <c r="Z42" s="38"/>
      <c r="AA42" s="38">
        <v>0</v>
      </c>
      <c r="AB42" s="38"/>
      <c r="AC42" s="3">
        <f t="shared" si="1"/>
        <v>577181.8099999999</v>
      </c>
      <c r="AD42" s="39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3"/>
    </row>
    <row r="43" spans="1:29" s="8" customFormat="1" ht="12">
      <c r="A43" s="8" t="s">
        <v>92</v>
      </c>
      <c r="C43" s="8" t="s">
        <v>93</v>
      </c>
      <c r="E43" s="9">
        <v>35034</v>
      </c>
      <c r="F43" s="9"/>
      <c r="G43" s="9">
        <v>8833</v>
      </c>
      <c r="H43" s="9"/>
      <c r="I43" s="9">
        <v>12435</v>
      </c>
      <c r="J43" s="9"/>
      <c r="K43" s="9">
        <v>21270</v>
      </c>
      <c r="L43" s="9"/>
      <c r="M43" s="9">
        <v>5591</v>
      </c>
      <c r="N43" s="9"/>
      <c r="O43" s="9">
        <v>1633</v>
      </c>
      <c r="P43" s="9"/>
      <c r="Q43" s="9">
        <v>1350</v>
      </c>
      <c r="R43" s="9"/>
      <c r="S43" s="9">
        <v>0</v>
      </c>
      <c r="T43" s="9"/>
      <c r="U43" s="9">
        <v>0</v>
      </c>
      <c r="V43" s="9"/>
      <c r="W43" s="9">
        <v>0</v>
      </c>
      <c r="X43" s="9"/>
      <c r="Y43" s="9">
        <v>0</v>
      </c>
      <c r="Z43" s="9"/>
      <c r="AA43" s="9">
        <v>0</v>
      </c>
      <c r="AB43" s="9"/>
      <c r="AC43" s="9">
        <f t="shared" si="1"/>
        <v>86146</v>
      </c>
    </row>
    <row r="44" spans="1:29" s="8" customFormat="1" ht="12" hidden="1">
      <c r="A44" s="8" t="s">
        <v>118</v>
      </c>
      <c r="C44" s="8" t="s">
        <v>51</v>
      </c>
      <c r="E44" s="9">
        <v>0</v>
      </c>
      <c r="F44" s="9"/>
      <c r="G44" s="9">
        <v>0</v>
      </c>
      <c r="H44" s="9"/>
      <c r="I44" s="9">
        <v>0</v>
      </c>
      <c r="J44" s="9"/>
      <c r="K44" s="9">
        <v>0</v>
      </c>
      <c r="L44" s="9"/>
      <c r="M44" s="9">
        <v>0</v>
      </c>
      <c r="N44" s="9"/>
      <c r="O44" s="9">
        <v>0</v>
      </c>
      <c r="P44" s="9"/>
      <c r="Q44" s="9">
        <v>0</v>
      </c>
      <c r="R44" s="9"/>
      <c r="S44" s="9">
        <v>0</v>
      </c>
      <c r="T44" s="9"/>
      <c r="U44" s="9">
        <v>0</v>
      </c>
      <c r="V44" s="9"/>
      <c r="W44" s="9">
        <v>0</v>
      </c>
      <c r="X44" s="9"/>
      <c r="Y44" s="9">
        <v>0</v>
      </c>
      <c r="Z44" s="9"/>
      <c r="AA44" s="9">
        <v>0</v>
      </c>
      <c r="AB44" s="9"/>
      <c r="AC44" s="9">
        <f t="shared" si="1"/>
        <v>0</v>
      </c>
    </row>
    <row r="45" spans="1:29" s="8" customFormat="1" ht="12">
      <c r="A45" s="8" t="s">
        <v>94</v>
      </c>
      <c r="C45" s="8" t="s">
        <v>95</v>
      </c>
      <c r="E45" s="9">
        <v>21777</v>
      </c>
      <c r="F45" s="9"/>
      <c r="G45" s="9">
        <v>0</v>
      </c>
      <c r="H45" s="9"/>
      <c r="I45" s="9">
        <f>906340-21777-6197</f>
        <v>878366</v>
      </c>
      <c r="J45" s="9"/>
      <c r="K45" s="9">
        <v>0</v>
      </c>
      <c r="L45" s="9"/>
      <c r="M45" s="9">
        <v>0</v>
      </c>
      <c r="N45" s="9"/>
      <c r="O45" s="9">
        <v>0</v>
      </c>
      <c r="P45" s="9"/>
      <c r="Q45" s="9">
        <v>6197</v>
      </c>
      <c r="R45" s="9"/>
      <c r="S45" s="9">
        <v>0</v>
      </c>
      <c r="T45" s="9"/>
      <c r="U45" s="9">
        <v>0</v>
      </c>
      <c r="V45" s="9"/>
      <c r="W45" s="9">
        <v>150000</v>
      </c>
      <c r="X45" s="9"/>
      <c r="Y45" s="9">
        <v>0</v>
      </c>
      <c r="Z45" s="9"/>
      <c r="AA45" s="9">
        <v>0</v>
      </c>
      <c r="AB45" s="9"/>
      <c r="AC45" s="9">
        <f t="shared" si="1"/>
        <v>1056340</v>
      </c>
    </row>
    <row r="46" spans="1:29" s="8" customFormat="1" ht="12">
      <c r="A46" s="8" t="s">
        <v>96</v>
      </c>
      <c r="C46" s="8" t="s">
        <v>48</v>
      </c>
      <c r="E46" s="9">
        <v>67317</v>
      </c>
      <c r="F46" s="9"/>
      <c r="G46" s="9">
        <v>9269</v>
      </c>
      <c r="H46" s="9"/>
      <c r="I46" s="9">
        <v>11119</v>
      </c>
      <c r="J46" s="9"/>
      <c r="K46" s="9">
        <v>34828</v>
      </c>
      <c r="L46" s="9"/>
      <c r="M46" s="9">
        <v>6094</v>
      </c>
      <c r="N46" s="9"/>
      <c r="O46" s="9">
        <v>975</v>
      </c>
      <c r="P46" s="9"/>
      <c r="Q46" s="9">
        <v>3109</v>
      </c>
      <c r="R46" s="9"/>
      <c r="S46" s="9">
        <v>0</v>
      </c>
      <c r="T46" s="9"/>
      <c r="U46" s="9">
        <v>0</v>
      </c>
      <c r="V46" s="9"/>
      <c r="W46" s="9">
        <v>30000</v>
      </c>
      <c r="X46" s="9"/>
      <c r="Y46" s="9">
        <v>0</v>
      </c>
      <c r="Z46" s="9"/>
      <c r="AA46" s="9">
        <v>0</v>
      </c>
      <c r="AB46" s="9"/>
      <c r="AC46" s="9">
        <f t="shared" si="1"/>
        <v>162711</v>
      </c>
    </row>
    <row r="47" spans="1:29" s="8" customFormat="1" ht="12" hidden="1">
      <c r="A47" s="8" t="s">
        <v>121</v>
      </c>
      <c r="C47" s="8" t="s">
        <v>52</v>
      </c>
      <c r="E47" s="9">
        <v>0</v>
      </c>
      <c r="F47" s="9"/>
      <c r="G47" s="9">
        <v>0</v>
      </c>
      <c r="H47" s="9"/>
      <c r="I47" s="9">
        <v>0</v>
      </c>
      <c r="J47" s="9"/>
      <c r="K47" s="9">
        <v>0</v>
      </c>
      <c r="L47" s="9"/>
      <c r="M47" s="9">
        <v>0</v>
      </c>
      <c r="N47" s="9"/>
      <c r="O47" s="9">
        <v>0</v>
      </c>
      <c r="P47" s="9"/>
      <c r="Q47" s="9">
        <v>0</v>
      </c>
      <c r="R47" s="9"/>
      <c r="S47" s="9">
        <v>0</v>
      </c>
      <c r="T47" s="9"/>
      <c r="U47" s="9">
        <v>0</v>
      </c>
      <c r="V47" s="9"/>
      <c r="W47" s="9">
        <v>0</v>
      </c>
      <c r="X47" s="9"/>
      <c r="Y47" s="9">
        <v>0</v>
      </c>
      <c r="Z47" s="9"/>
      <c r="AA47" s="9">
        <v>0</v>
      </c>
      <c r="AB47" s="9"/>
      <c r="AC47" s="9">
        <f t="shared" si="1"/>
        <v>0</v>
      </c>
    </row>
    <row r="48" spans="1:29" s="8" customFormat="1" ht="12">
      <c r="A48" s="8" t="s">
        <v>343</v>
      </c>
      <c r="C48" s="8" t="s">
        <v>98</v>
      </c>
      <c r="E48" s="9">
        <v>1131771</v>
      </c>
      <c r="F48" s="9"/>
      <c r="G48" s="9">
        <v>394583</v>
      </c>
      <c r="H48" s="9"/>
      <c r="I48" s="9">
        <v>190083</v>
      </c>
      <c r="J48" s="9"/>
      <c r="K48" s="9">
        <v>250995</v>
      </c>
      <c r="L48" s="9"/>
      <c r="M48" s="9">
        <v>39287</v>
      </c>
      <c r="N48" s="9"/>
      <c r="O48" s="9">
        <v>6024</v>
      </c>
      <c r="P48" s="9"/>
      <c r="Q48" s="9">
        <v>2244</v>
      </c>
      <c r="R48" s="9"/>
      <c r="S48" s="9">
        <v>0</v>
      </c>
      <c r="T48" s="9"/>
      <c r="U48" s="9">
        <v>0</v>
      </c>
      <c r="V48" s="9"/>
      <c r="W48" s="9">
        <v>0</v>
      </c>
      <c r="X48" s="9"/>
      <c r="Y48" s="9">
        <v>0</v>
      </c>
      <c r="Z48" s="9"/>
      <c r="AA48" s="9">
        <v>0</v>
      </c>
      <c r="AB48" s="9"/>
      <c r="AC48" s="9">
        <f t="shared" si="1"/>
        <v>2014987</v>
      </c>
    </row>
    <row r="49" spans="1:29" s="8" customFormat="1" ht="12" hidden="1">
      <c r="A49" s="8" t="s">
        <v>384</v>
      </c>
      <c r="C49" s="8" t="s">
        <v>27</v>
      </c>
      <c r="E49" s="9">
        <v>0</v>
      </c>
      <c r="F49" s="9"/>
      <c r="G49" s="9">
        <v>0</v>
      </c>
      <c r="H49" s="9"/>
      <c r="I49" s="9">
        <v>0</v>
      </c>
      <c r="J49" s="9"/>
      <c r="K49" s="9">
        <v>0</v>
      </c>
      <c r="L49" s="9"/>
      <c r="M49" s="9">
        <v>0</v>
      </c>
      <c r="N49" s="9"/>
      <c r="O49" s="9">
        <v>0</v>
      </c>
      <c r="P49" s="9"/>
      <c r="Q49" s="9">
        <v>0</v>
      </c>
      <c r="R49" s="9"/>
      <c r="S49" s="9">
        <v>0</v>
      </c>
      <c r="T49" s="9"/>
      <c r="U49" s="9">
        <v>0</v>
      </c>
      <c r="V49" s="9"/>
      <c r="W49" s="9">
        <v>0</v>
      </c>
      <c r="X49" s="9"/>
      <c r="Y49" s="9">
        <v>0</v>
      </c>
      <c r="Z49" s="9"/>
      <c r="AA49" s="9">
        <v>0</v>
      </c>
      <c r="AB49" s="9"/>
      <c r="AC49" s="9">
        <f t="shared" si="1"/>
        <v>0</v>
      </c>
    </row>
    <row r="50" spans="1:29" s="8" customFormat="1" ht="12">
      <c r="A50" s="8" t="s">
        <v>99</v>
      </c>
      <c r="C50" s="8" t="s">
        <v>100</v>
      </c>
      <c r="E50" s="9">
        <v>1012947</v>
      </c>
      <c r="F50" s="9"/>
      <c r="G50" s="9">
        <v>287759</v>
      </c>
      <c r="H50" s="9"/>
      <c r="I50" s="9">
        <v>180263</v>
      </c>
      <c r="J50" s="9"/>
      <c r="K50" s="9">
        <v>287975</v>
      </c>
      <c r="L50" s="9"/>
      <c r="M50" s="9">
        <v>40542</v>
      </c>
      <c r="N50" s="9"/>
      <c r="O50" s="9">
        <v>6298</v>
      </c>
      <c r="P50" s="9"/>
      <c r="Q50" s="9">
        <v>13237</v>
      </c>
      <c r="R50" s="9"/>
      <c r="S50" s="9">
        <v>0</v>
      </c>
      <c r="T50" s="9"/>
      <c r="U50" s="9">
        <v>0</v>
      </c>
      <c r="V50" s="9"/>
      <c r="W50" s="9">
        <v>0</v>
      </c>
      <c r="X50" s="9"/>
      <c r="Y50" s="9">
        <v>0</v>
      </c>
      <c r="Z50" s="9"/>
      <c r="AA50" s="9">
        <v>0</v>
      </c>
      <c r="AB50" s="9"/>
      <c r="AC50" s="9">
        <f t="shared" si="1"/>
        <v>1829021</v>
      </c>
    </row>
    <row r="51" spans="1:29" s="8" customFormat="1" ht="12">
      <c r="A51" s="8" t="s">
        <v>101</v>
      </c>
      <c r="C51" s="8" t="s">
        <v>72</v>
      </c>
      <c r="E51" s="9">
        <v>313048</v>
      </c>
      <c r="F51" s="9"/>
      <c r="G51" s="9">
        <v>478</v>
      </c>
      <c r="H51" s="9"/>
      <c r="I51" s="9">
        <v>73998</v>
      </c>
      <c r="J51" s="9"/>
      <c r="K51" s="9">
        <v>111583</v>
      </c>
      <c r="L51" s="9"/>
      <c r="M51" s="9">
        <v>18131</v>
      </c>
      <c r="N51" s="9"/>
      <c r="O51" s="9">
        <v>2577</v>
      </c>
      <c r="P51" s="9"/>
      <c r="Q51" s="9">
        <v>48198</v>
      </c>
      <c r="R51" s="9"/>
      <c r="S51" s="9">
        <v>0</v>
      </c>
      <c r="T51" s="9"/>
      <c r="U51" s="9">
        <v>0</v>
      </c>
      <c r="V51" s="9"/>
      <c r="W51" s="9">
        <v>0</v>
      </c>
      <c r="X51" s="9"/>
      <c r="Y51" s="9">
        <v>0</v>
      </c>
      <c r="Z51" s="9"/>
      <c r="AA51" s="9">
        <v>0</v>
      </c>
      <c r="AB51" s="9"/>
      <c r="AC51" s="9">
        <f t="shared" si="1"/>
        <v>568013</v>
      </c>
    </row>
    <row r="52" spans="1:63" s="8" customFormat="1" ht="12">
      <c r="A52" s="38" t="s">
        <v>102</v>
      </c>
      <c r="B52" s="38"/>
      <c r="C52" s="38" t="s">
        <v>593</v>
      </c>
      <c r="D52" s="38"/>
      <c r="E52" s="38">
        <v>63054.82</v>
      </c>
      <c r="F52" s="38"/>
      <c r="G52" s="38">
        <v>10300.27</v>
      </c>
      <c r="H52" s="38"/>
      <c r="I52" s="38">
        <v>13785.59</v>
      </c>
      <c r="J52" s="38"/>
      <c r="K52" s="38">
        <v>33919.28</v>
      </c>
      <c r="L52" s="38"/>
      <c r="M52" s="38">
        <v>5852.02</v>
      </c>
      <c r="N52" s="38"/>
      <c r="O52" s="38">
        <v>8369.66</v>
      </c>
      <c r="P52" s="38"/>
      <c r="Q52" s="38">
        <v>0</v>
      </c>
      <c r="R52" s="38"/>
      <c r="S52" s="38">
        <v>0</v>
      </c>
      <c r="T52" s="38"/>
      <c r="U52" s="38">
        <v>0</v>
      </c>
      <c r="V52" s="38"/>
      <c r="W52" s="38">
        <v>21590.96</v>
      </c>
      <c r="X52" s="38"/>
      <c r="Y52" s="38">
        <v>0</v>
      </c>
      <c r="Z52" s="38"/>
      <c r="AA52" s="38">
        <v>0</v>
      </c>
      <c r="AB52" s="38"/>
      <c r="AC52" s="3">
        <f t="shared" si="1"/>
        <v>156872.59999999998</v>
      </c>
      <c r="AD52" s="39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3"/>
    </row>
    <row r="53" spans="1:29" s="8" customFormat="1" ht="12" hidden="1">
      <c r="A53" s="8" t="s">
        <v>127</v>
      </c>
      <c r="C53" s="8" t="s">
        <v>100</v>
      </c>
      <c r="E53" s="9">
        <v>0</v>
      </c>
      <c r="F53" s="9"/>
      <c r="G53" s="9">
        <v>0</v>
      </c>
      <c r="H53" s="9"/>
      <c r="I53" s="9">
        <v>0</v>
      </c>
      <c r="J53" s="9"/>
      <c r="K53" s="9">
        <v>0</v>
      </c>
      <c r="L53" s="9"/>
      <c r="M53" s="9">
        <v>0</v>
      </c>
      <c r="N53" s="9"/>
      <c r="O53" s="9">
        <v>0</v>
      </c>
      <c r="P53" s="9"/>
      <c r="Q53" s="9">
        <v>0</v>
      </c>
      <c r="R53" s="9"/>
      <c r="S53" s="9">
        <v>0</v>
      </c>
      <c r="T53" s="9"/>
      <c r="U53" s="9">
        <v>0</v>
      </c>
      <c r="V53" s="9"/>
      <c r="W53" s="9">
        <v>0</v>
      </c>
      <c r="X53" s="9"/>
      <c r="Y53" s="9">
        <v>0</v>
      </c>
      <c r="Z53" s="9"/>
      <c r="AA53" s="9">
        <v>0</v>
      </c>
      <c r="AB53" s="9"/>
      <c r="AC53" s="9">
        <f t="shared" si="1"/>
        <v>0</v>
      </c>
    </row>
    <row r="54" spans="1:29" s="8" customFormat="1" ht="12" hidden="1">
      <c r="A54" s="8" t="s">
        <v>75</v>
      </c>
      <c r="C54" s="8" t="s">
        <v>53</v>
      </c>
      <c r="E54" s="9">
        <v>0</v>
      </c>
      <c r="F54" s="9"/>
      <c r="G54" s="9">
        <v>0</v>
      </c>
      <c r="H54" s="9"/>
      <c r="I54" s="9">
        <v>0</v>
      </c>
      <c r="J54" s="9"/>
      <c r="K54" s="9">
        <v>0</v>
      </c>
      <c r="L54" s="9"/>
      <c r="M54" s="9">
        <v>0</v>
      </c>
      <c r="N54" s="9"/>
      <c r="O54" s="9">
        <v>0</v>
      </c>
      <c r="P54" s="9"/>
      <c r="Q54" s="9">
        <v>0</v>
      </c>
      <c r="R54" s="9"/>
      <c r="S54" s="9">
        <v>0</v>
      </c>
      <c r="T54" s="9"/>
      <c r="U54" s="9">
        <v>0</v>
      </c>
      <c r="V54" s="9"/>
      <c r="W54" s="9">
        <v>0</v>
      </c>
      <c r="X54" s="9"/>
      <c r="Y54" s="9">
        <v>0</v>
      </c>
      <c r="Z54" s="9"/>
      <c r="AA54" s="9">
        <v>0</v>
      </c>
      <c r="AB54" s="9"/>
      <c r="AC54" s="9">
        <f t="shared" si="1"/>
        <v>0</v>
      </c>
    </row>
    <row r="55" spans="1:31" s="8" customFormat="1" ht="12" hidden="1">
      <c r="A55" s="8" t="s">
        <v>494</v>
      </c>
      <c r="C55" s="8" t="s">
        <v>98</v>
      </c>
      <c r="E55" s="3">
        <v>0</v>
      </c>
      <c r="F55" s="3"/>
      <c r="G55" s="3">
        <v>0</v>
      </c>
      <c r="H55" s="3"/>
      <c r="I55" s="3">
        <v>0</v>
      </c>
      <c r="J55" s="3"/>
      <c r="K55" s="3">
        <v>0</v>
      </c>
      <c r="L55" s="3"/>
      <c r="M55" s="3">
        <v>0</v>
      </c>
      <c r="N55" s="3"/>
      <c r="O55" s="3">
        <v>0</v>
      </c>
      <c r="P55" s="3"/>
      <c r="Q55" s="3">
        <v>0</v>
      </c>
      <c r="R55" s="3"/>
      <c r="S55" s="3">
        <v>0</v>
      </c>
      <c r="T55" s="3"/>
      <c r="U55" s="3">
        <v>0</v>
      </c>
      <c r="V55" s="3"/>
      <c r="W55" s="3">
        <v>0</v>
      </c>
      <c r="X55" s="3"/>
      <c r="Y55" s="3">
        <v>0</v>
      </c>
      <c r="Z55" s="3"/>
      <c r="AA55" s="3">
        <v>0</v>
      </c>
      <c r="AB55" s="9"/>
      <c r="AC55" s="9">
        <f t="shared" si="1"/>
        <v>0</v>
      </c>
      <c r="AE55" s="9"/>
    </row>
    <row r="56" spans="1:63" s="8" customFormat="1" ht="12">
      <c r="A56" s="38" t="s">
        <v>103</v>
      </c>
      <c r="B56" s="38"/>
      <c r="C56" s="38" t="s">
        <v>544</v>
      </c>
      <c r="D56" s="38"/>
      <c r="E56" s="38">
        <v>175794.94</v>
      </c>
      <c r="F56" s="38"/>
      <c r="G56" s="38">
        <v>43442.52</v>
      </c>
      <c r="H56" s="38"/>
      <c r="I56" s="38">
        <v>102015.64</v>
      </c>
      <c r="J56" s="38"/>
      <c r="K56" s="38">
        <v>58456.55</v>
      </c>
      <c r="L56" s="38"/>
      <c r="M56" s="38">
        <v>8856.53</v>
      </c>
      <c r="N56" s="38"/>
      <c r="O56" s="38">
        <v>3019.25</v>
      </c>
      <c r="P56" s="38"/>
      <c r="Q56" s="38">
        <v>0</v>
      </c>
      <c r="R56" s="38"/>
      <c r="S56" s="38">
        <v>0</v>
      </c>
      <c r="T56" s="38"/>
      <c r="U56" s="38">
        <v>0</v>
      </c>
      <c r="V56" s="38"/>
      <c r="W56" s="38">
        <v>0</v>
      </c>
      <c r="X56" s="38"/>
      <c r="Y56" s="38">
        <v>0</v>
      </c>
      <c r="Z56" s="38"/>
      <c r="AA56" s="38">
        <v>0</v>
      </c>
      <c r="AB56" s="38"/>
      <c r="AC56" s="3">
        <f t="shared" si="1"/>
        <v>391585.43</v>
      </c>
      <c r="AD56" s="39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3"/>
    </row>
    <row r="57" spans="1:63" s="28" customFormat="1" ht="12.75" hidden="1">
      <c r="A57" s="8" t="s">
        <v>417</v>
      </c>
      <c r="B57" s="8"/>
      <c r="C57" s="9" t="s">
        <v>73</v>
      </c>
      <c r="D57" s="9"/>
      <c r="E57" s="9">
        <v>0</v>
      </c>
      <c r="F57" s="9"/>
      <c r="G57" s="9">
        <v>0</v>
      </c>
      <c r="H57" s="9"/>
      <c r="I57" s="9">
        <v>0</v>
      </c>
      <c r="J57" s="9"/>
      <c r="K57" s="9">
        <v>0</v>
      </c>
      <c r="L57" s="9"/>
      <c r="M57" s="9">
        <v>0</v>
      </c>
      <c r="N57" s="9"/>
      <c r="O57" s="9">
        <v>0</v>
      </c>
      <c r="P57" s="9"/>
      <c r="Q57" s="9">
        <v>0</v>
      </c>
      <c r="R57" s="9"/>
      <c r="S57" s="9">
        <v>0</v>
      </c>
      <c r="T57" s="9"/>
      <c r="U57" s="9">
        <v>0</v>
      </c>
      <c r="V57" s="9"/>
      <c r="W57" s="9">
        <v>0</v>
      </c>
      <c r="X57" s="9"/>
      <c r="Y57" s="9">
        <v>0</v>
      </c>
      <c r="Z57" s="9"/>
      <c r="AA57" s="9">
        <v>0</v>
      </c>
      <c r="AB57" s="9"/>
      <c r="AC57" s="9">
        <f t="shared" si="1"/>
        <v>0</v>
      </c>
      <c r="AD57" s="25"/>
      <c r="AE57" s="26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</row>
    <row r="58" spans="1:63" s="8" customFormat="1" ht="12">
      <c r="A58" s="38" t="s">
        <v>105</v>
      </c>
      <c r="B58" s="38"/>
      <c r="C58" s="38" t="s">
        <v>566</v>
      </c>
      <c r="D58" s="38"/>
      <c r="E58" s="38">
        <v>105540.17</v>
      </c>
      <c r="F58" s="38"/>
      <c r="G58" s="38">
        <v>25304.14</v>
      </c>
      <c r="H58" s="38"/>
      <c r="I58" s="38">
        <v>40867.2</v>
      </c>
      <c r="J58" s="38"/>
      <c r="K58" s="38">
        <v>30168.73</v>
      </c>
      <c r="L58" s="38"/>
      <c r="M58" s="38">
        <v>10942.85</v>
      </c>
      <c r="N58" s="38"/>
      <c r="O58" s="38">
        <v>713</v>
      </c>
      <c r="P58" s="38"/>
      <c r="Q58" s="38">
        <v>19279.5</v>
      </c>
      <c r="R58" s="38"/>
      <c r="S58" s="38">
        <v>0</v>
      </c>
      <c r="T58" s="38"/>
      <c r="U58" s="38">
        <v>0</v>
      </c>
      <c r="V58" s="38"/>
      <c r="W58" s="38">
        <v>0</v>
      </c>
      <c r="X58" s="38"/>
      <c r="Y58" s="38">
        <v>0</v>
      </c>
      <c r="Z58" s="38"/>
      <c r="AA58" s="38">
        <v>0</v>
      </c>
      <c r="AB58" s="38"/>
      <c r="AC58" s="3">
        <f t="shared" si="1"/>
        <v>232815.59000000003</v>
      </c>
      <c r="AD58" s="39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3"/>
    </row>
    <row r="59" spans="1:63" s="8" customFormat="1" ht="12">
      <c r="A59" s="38" t="s">
        <v>106</v>
      </c>
      <c r="B59" s="38"/>
      <c r="C59" s="38" t="s">
        <v>580</v>
      </c>
      <c r="D59" s="38"/>
      <c r="E59" s="38">
        <v>112010.65</v>
      </c>
      <c r="F59" s="38"/>
      <c r="G59" s="38">
        <v>21213.04</v>
      </c>
      <c r="H59" s="38"/>
      <c r="I59" s="38">
        <v>46461.62</v>
      </c>
      <c r="J59" s="38"/>
      <c r="K59" s="38">
        <v>29235.34</v>
      </c>
      <c r="L59" s="38"/>
      <c r="M59" s="38">
        <v>7657.13</v>
      </c>
      <c r="N59" s="38"/>
      <c r="O59" s="38">
        <v>1980.41</v>
      </c>
      <c r="P59" s="38"/>
      <c r="Q59" s="38">
        <v>6675.65</v>
      </c>
      <c r="R59" s="38"/>
      <c r="S59" s="38">
        <v>0</v>
      </c>
      <c r="T59" s="38"/>
      <c r="U59" s="38">
        <v>0</v>
      </c>
      <c r="V59" s="38"/>
      <c r="W59" s="38">
        <v>10000</v>
      </c>
      <c r="X59" s="38"/>
      <c r="Y59" s="38">
        <v>0</v>
      </c>
      <c r="Z59" s="38"/>
      <c r="AA59" s="38">
        <v>0</v>
      </c>
      <c r="AB59" s="38"/>
      <c r="AC59" s="3">
        <f t="shared" si="1"/>
        <v>235233.84</v>
      </c>
      <c r="AD59" s="39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3"/>
    </row>
    <row r="60" spans="1:29" s="8" customFormat="1" ht="12" hidden="1">
      <c r="A60" s="8" t="s">
        <v>132</v>
      </c>
      <c r="C60" s="8" t="s">
        <v>55</v>
      </c>
      <c r="E60" s="9">
        <v>0</v>
      </c>
      <c r="F60" s="9"/>
      <c r="G60" s="9">
        <v>0</v>
      </c>
      <c r="H60" s="9"/>
      <c r="I60" s="9">
        <v>0</v>
      </c>
      <c r="J60" s="9"/>
      <c r="K60" s="9">
        <v>0</v>
      </c>
      <c r="L60" s="9"/>
      <c r="M60" s="9">
        <v>0</v>
      </c>
      <c r="N60" s="9"/>
      <c r="O60" s="9">
        <v>0</v>
      </c>
      <c r="P60" s="9"/>
      <c r="Q60" s="9">
        <v>0</v>
      </c>
      <c r="R60" s="9"/>
      <c r="S60" s="9">
        <v>0</v>
      </c>
      <c r="T60" s="9"/>
      <c r="U60" s="9">
        <v>0</v>
      </c>
      <c r="V60" s="9"/>
      <c r="W60" s="9">
        <v>0</v>
      </c>
      <c r="X60" s="9"/>
      <c r="Y60" s="9">
        <v>0</v>
      </c>
      <c r="Z60" s="9"/>
      <c r="AA60" s="9">
        <v>0</v>
      </c>
      <c r="AB60" s="9"/>
      <c r="AC60" s="9">
        <f t="shared" si="1"/>
        <v>0</v>
      </c>
    </row>
    <row r="61" spans="1:29" s="8" customFormat="1" ht="12">
      <c r="A61" s="8" t="s">
        <v>107</v>
      </c>
      <c r="C61" s="8" t="s">
        <v>59</v>
      </c>
      <c r="E61" s="9">
        <v>74666</v>
      </c>
      <c r="F61" s="9"/>
      <c r="G61" s="9">
        <v>0</v>
      </c>
      <c r="H61" s="9"/>
      <c r="I61" s="9">
        <v>407238</v>
      </c>
      <c r="J61" s="9"/>
      <c r="K61" s="9">
        <v>0</v>
      </c>
      <c r="L61" s="9"/>
      <c r="M61" s="9">
        <v>0</v>
      </c>
      <c r="N61" s="9"/>
      <c r="O61" s="9">
        <v>0</v>
      </c>
      <c r="P61" s="9"/>
      <c r="Q61" s="9">
        <v>6863</v>
      </c>
      <c r="R61" s="9"/>
      <c r="S61" s="9">
        <v>0</v>
      </c>
      <c r="T61" s="9"/>
      <c r="U61" s="9">
        <v>0</v>
      </c>
      <c r="V61" s="9"/>
      <c r="W61" s="9">
        <v>500000</v>
      </c>
      <c r="X61" s="9"/>
      <c r="Y61" s="9">
        <v>0</v>
      </c>
      <c r="Z61" s="9"/>
      <c r="AA61" s="9">
        <v>0</v>
      </c>
      <c r="AB61" s="9"/>
      <c r="AC61" s="9">
        <f t="shared" si="1"/>
        <v>988767</v>
      </c>
    </row>
    <row r="62" spans="1:63" s="8" customFormat="1" ht="12">
      <c r="A62" s="38" t="s">
        <v>596</v>
      </c>
      <c r="B62" s="38"/>
      <c r="C62" s="38" t="s">
        <v>597</v>
      </c>
      <c r="D62" s="38"/>
      <c r="E62" s="38">
        <v>222298.33</v>
      </c>
      <c r="F62" s="38"/>
      <c r="G62" s="38">
        <v>52678.49</v>
      </c>
      <c r="H62" s="38"/>
      <c r="I62" s="38">
        <v>53952.6</v>
      </c>
      <c r="J62" s="38"/>
      <c r="K62" s="38">
        <v>116492.22</v>
      </c>
      <c r="L62" s="38"/>
      <c r="M62" s="38">
        <v>9417.05</v>
      </c>
      <c r="N62" s="38"/>
      <c r="O62" s="38">
        <v>26555.96</v>
      </c>
      <c r="P62" s="38"/>
      <c r="Q62" s="38">
        <v>6863.19</v>
      </c>
      <c r="R62" s="38"/>
      <c r="S62" s="38">
        <v>0</v>
      </c>
      <c r="T62" s="38"/>
      <c r="U62" s="38">
        <v>0</v>
      </c>
      <c r="V62" s="38"/>
      <c r="W62" s="38">
        <v>0</v>
      </c>
      <c r="X62" s="38"/>
      <c r="Y62" s="38">
        <v>0</v>
      </c>
      <c r="Z62" s="38"/>
      <c r="AA62" s="38">
        <v>510</v>
      </c>
      <c r="AB62" s="38"/>
      <c r="AC62" s="3">
        <f t="shared" si="1"/>
        <v>488767.84</v>
      </c>
      <c r="AD62" s="39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3"/>
    </row>
    <row r="63" spans="1:63" s="8" customFormat="1" ht="12">
      <c r="A63" s="38" t="s">
        <v>549</v>
      </c>
      <c r="B63" s="38"/>
      <c r="C63" s="38" t="s">
        <v>550</v>
      </c>
      <c r="D63" s="38"/>
      <c r="E63" s="38">
        <v>491652.51</v>
      </c>
      <c r="F63" s="38"/>
      <c r="G63" s="38">
        <v>112070.14</v>
      </c>
      <c r="H63" s="38"/>
      <c r="I63" s="38">
        <v>184872.22</v>
      </c>
      <c r="J63" s="38"/>
      <c r="K63" s="38">
        <v>116845.87</v>
      </c>
      <c r="L63" s="38"/>
      <c r="M63" s="38">
        <v>15589.13</v>
      </c>
      <c r="N63" s="38"/>
      <c r="O63" s="38">
        <v>259.28</v>
      </c>
      <c r="P63" s="38"/>
      <c r="Q63" s="38">
        <v>37042.41</v>
      </c>
      <c r="R63" s="38"/>
      <c r="S63" s="38">
        <v>0</v>
      </c>
      <c r="T63" s="38"/>
      <c r="U63" s="38">
        <v>0</v>
      </c>
      <c r="V63" s="38"/>
      <c r="W63" s="38">
        <v>0</v>
      </c>
      <c r="X63" s="38"/>
      <c r="Y63" s="38">
        <v>0</v>
      </c>
      <c r="Z63" s="38"/>
      <c r="AA63" s="38">
        <v>0</v>
      </c>
      <c r="AB63" s="38"/>
      <c r="AC63" s="3">
        <f t="shared" si="1"/>
        <v>958331.56</v>
      </c>
      <c r="AD63" s="39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3"/>
    </row>
    <row r="64" spans="1:29" s="8" customFormat="1" ht="12">
      <c r="A64" s="8" t="s">
        <v>108</v>
      </c>
      <c r="C64" s="8" t="s">
        <v>109</v>
      </c>
      <c r="E64" s="9">
        <v>82000</v>
      </c>
      <c r="F64" s="9"/>
      <c r="G64" s="9">
        <v>10212</v>
      </c>
      <c r="H64" s="9"/>
      <c r="I64" s="9">
        <v>25949</v>
      </c>
      <c r="J64" s="9"/>
      <c r="K64" s="9">
        <v>8496</v>
      </c>
      <c r="L64" s="9"/>
      <c r="M64" s="9">
        <v>3451</v>
      </c>
      <c r="N64" s="9"/>
      <c r="O64" s="9">
        <v>2754</v>
      </c>
      <c r="P64" s="9"/>
      <c r="Q64" s="9">
        <v>6925</v>
      </c>
      <c r="R64" s="9"/>
      <c r="S64" s="9">
        <v>0</v>
      </c>
      <c r="T64" s="9"/>
      <c r="U64" s="9">
        <v>0</v>
      </c>
      <c r="V64" s="9"/>
      <c r="W64" s="9">
        <v>0</v>
      </c>
      <c r="X64" s="9"/>
      <c r="Y64" s="9">
        <v>0</v>
      </c>
      <c r="Z64" s="9"/>
      <c r="AA64" s="9">
        <v>0</v>
      </c>
      <c r="AB64" s="9"/>
      <c r="AC64" s="9">
        <f t="shared" si="1"/>
        <v>139787</v>
      </c>
    </row>
    <row r="65" spans="1:43" s="8" customFormat="1" ht="12" hidden="1">
      <c r="A65" s="8" t="s">
        <v>138</v>
      </c>
      <c r="C65" s="8" t="s">
        <v>104</v>
      </c>
      <c r="E65" s="9">
        <v>0</v>
      </c>
      <c r="F65" s="9"/>
      <c r="G65" s="9">
        <v>0</v>
      </c>
      <c r="H65" s="9"/>
      <c r="I65" s="9">
        <v>0</v>
      </c>
      <c r="J65" s="9"/>
      <c r="K65" s="9">
        <v>0</v>
      </c>
      <c r="L65" s="9"/>
      <c r="M65" s="9">
        <v>0</v>
      </c>
      <c r="N65" s="9"/>
      <c r="O65" s="9">
        <v>0</v>
      </c>
      <c r="P65" s="9"/>
      <c r="Q65" s="9">
        <v>0</v>
      </c>
      <c r="R65" s="9"/>
      <c r="S65" s="9">
        <v>0</v>
      </c>
      <c r="T65" s="9"/>
      <c r="U65" s="9">
        <v>0</v>
      </c>
      <c r="V65" s="9"/>
      <c r="W65" s="9">
        <v>0</v>
      </c>
      <c r="X65" s="9"/>
      <c r="Y65" s="9">
        <v>0</v>
      </c>
      <c r="Z65" s="9"/>
      <c r="AA65" s="9">
        <v>0</v>
      </c>
      <c r="AB65" s="9"/>
      <c r="AC65" s="9">
        <f t="shared" si="1"/>
        <v>0</v>
      </c>
      <c r="AQ65" s="8">
        <v>715.48</v>
      </c>
    </row>
    <row r="66" spans="1:43" s="8" customFormat="1" ht="12" hidden="1">
      <c r="A66" s="8" t="s">
        <v>139</v>
      </c>
      <c r="C66" s="8" t="s">
        <v>45</v>
      </c>
      <c r="E66" s="9">
        <v>0</v>
      </c>
      <c r="F66" s="9"/>
      <c r="G66" s="9">
        <v>0</v>
      </c>
      <c r="H66" s="9"/>
      <c r="I66" s="9">
        <v>0</v>
      </c>
      <c r="J66" s="9"/>
      <c r="K66" s="9">
        <v>0</v>
      </c>
      <c r="L66" s="9"/>
      <c r="M66" s="9">
        <v>0</v>
      </c>
      <c r="N66" s="9"/>
      <c r="O66" s="9">
        <v>0</v>
      </c>
      <c r="P66" s="9"/>
      <c r="Q66" s="9">
        <v>0</v>
      </c>
      <c r="R66" s="9"/>
      <c r="S66" s="9">
        <v>0</v>
      </c>
      <c r="T66" s="9"/>
      <c r="U66" s="9">
        <v>0</v>
      </c>
      <c r="V66" s="9"/>
      <c r="W66" s="9">
        <v>0</v>
      </c>
      <c r="X66" s="9"/>
      <c r="Y66" s="9">
        <v>0</v>
      </c>
      <c r="Z66" s="9"/>
      <c r="AA66" s="9">
        <v>0</v>
      </c>
      <c r="AB66" s="9"/>
      <c r="AC66" s="9">
        <f t="shared" si="1"/>
        <v>0</v>
      </c>
      <c r="AQ66" s="8">
        <v>8684.6</v>
      </c>
    </row>
    <row r="67" spans="1:29" s="8" customFormat="1" ht="12">
      <c r="A67" s="8" t="s">
        <v>110</v>
      </c>
      <c r="C67" s="8" t="s">
        <v>55</v>
      </c>
      <c r="E67" s="9">
        <v>276260</v>
      </c>
      <c r="F67" s="9"/>
      <c r="G67" s="9">
        <f>39429+39420+646</f>
        <v>79495</v>
      </c>
      <c r="H67" s="9"/>
      <c r="I67" s="9">
        <f>6406+20685+56882+8645+8506+22420+1288</f>
        <v>124832</v>
      </c>
      <c r="J67" s="9"/>
      <c r="K67" s="9">
        <f>51934+6941+10552+19707</f>
        <v>89134</v>
      </c>
      <c r="L67" s="9"/>
      <c r="M67" s="9">
        <f>8295+2721+15949</f>
        <v>26965</v>
      </c>
      <c r="N67" s="9"/>
      <c r="O67" s="9">
        <v>0</v>
      </c>
      <c r="P67" s="9"/>
      <c r="Q67" s="9">
        <v>21449</v>
      </c>
      <c r="R67" s="9"/>
      <c r="S67" s="9">
        <v>0</v>
      </c>
      <c r="T67" s="9"/>
      <c r="U67" s="9">
        <v>0</v>
      </c>
      <c r="V67" s="9"/>
      <c r="W67" s="9">
        <v>18311</v>
      </c>
      <c r="X67" s="9"/>
      <c r="Y67" s="9">
        <v>0</v>
      </c>
      <c r="Z67" s="9"/>
      <c r="AA67" s="9">
        <f>2515+1041</f>
        <v>3556</v>
      </c>
      <c r="AB67" s="9"/>
      <c r="AC67" s="9">
        <f t="shared" si="1"/>
        <v>640002</v>
      </c>
    </row>
    <row r="68" spans="1:63" s="8" customFormat="1" ht="12">
      <c r="A68" s="38" t="s">
        <v>111</v>
      </c>
      <c r="B68" s="38"/>
      <c r="C68" s="38" t="s">
        <v>563</v>
      </c>
      <c r="D68" s="38"/>
      <c r="E68" s="38">
        <v>398785.68</v>
      </c>
      <c r="F68" s="38"/>
      <c r="G68" s="38">
        <v>97783.32</v>
      </c>
      <c r="H68" s="38"/>
      <c r="I68" s="38">
        <v>126766.66</v>
      </c>
      <c r="J68" s="38"/>
      <c r="K68" s="38">
        <v>105980.28</v>
      </c>
      <c r="L68" s="38"/>
      <c r="M68" s="38">
        <v>19309.68</v>
      </c>
      <c r="N68" s="38"/>
      <c r="O68" s="38">
        <v>9850.81</v>
      </c>
      <c r="P68" s="38"/>
      <c r="Q68" s="38">
        <v>5286.19</v>
      </c>
      <c r="R68" s="38"/>
      <c r="S68" s="38">
        <v>0</v>
      </c>
      <c r="T68" s="38"/>
      <c r="U68" s="38">
        <v>0</v>
      </c>
      <c r="V68" s="38"/>
      <c r="W68" s="38">
        <v>0</v>
      </c>
      <c r="X68" s="38"/>
      <c r="Y68" s="38">
        <v>0</v>
      </c>
      <c r="Z68" s="38"/>
      <c r="AA68" s="38">
        <v>0</v>
      </c>
      <c r="AB68" s="38"/>
      <c r="AC68" s="3">
        <f t="shared" si="1"/>
        <v>763762.6200000001</v>
      </c>
      <c r="AD68" s="39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3"/>
    </row>
    <row r="69" spans="1:43" s="8" customFormat="1" ht="12" hidden="1">
      <c r="A69" s="8" t="s">
        <v>385</v>
      </c>
      <c r="C69" s="8" t="s">
        <v>143</v>
      </c>
      <c r="E69" s="9">
        <v>0</v>
      </c>
      <c r="F69" s="9"/>
      <c r="G69" s="9">
        <v>0</v>
      </c>
      <c r="H69" s="9"/>
      <c r="I69" s="9">
        <v>0</v>
      </c>
      <c r="J69" s="9"/>
      <c r="K69" s="9">
        <v>0</v>
      </c>
      <c r="L69" s="9"/>
      <c r="M69" s="9">
        <v>0</v>
      </c>
      <c r="N69" s="9"/>
      <c r="O69" s="9">
        <v>0</v>
      </c>
      <c r="P69" s="9"/>
      <c r="Q69" s="9">
        <v>0</v>
      </c>
      <c r="R69" s="9"/>
      <c r="S69" s="9">
        <v>0</v>
      </c>
      <c r="T69" s="9"/>
      <c r="U69" s="9">
        <v>0</v>
      </c>
      <c r="V69" s="9"/>
      <c r="W69" s="9">
        <v>0</v>
      </c>
      <c r="X69" s="9"/>
      <c r="Y69" s="9">
        <v>0</v>
      </c>
      <c r="Z69" s="9"/>
      <c r="AA69" s="9">
        <v>0</v>
      </c>
      <c r="AB69" s="9"/>
      <c r="AC69" s="9">
        <f t="shared" si="1"/>
        <v>0</v>
      </c>
      <c r="AQ69" s="8">
        <v>838.96</v>
      </c>
    </row>
    <row r="70" spans="1:63" s="8" customFormat="1" ht="12">
      <c r="A70" s="38" t="s">
        <v>112</v>
      </c>
      <c r="B70" s="38"/>
      <c r="C70" s="38" t="s">
        <v>586</v>
      </c>
      <c r="D70" s="38"/>
      <c r="E70" s="38">
        <v>243277.66</v>
      </c>
      <c r="F70" s="38"/>
      <c r="G70" s="38">
        <v>64653.12</v>
      </c>
      <c r="H70" s="38"/>
      <c r="I70" s="38">
        <v>90712.45</v>
      </c>
      <c r="J70" s="38"/>
      <c r="K70" s="38">
        <v>86526.91</v>
      </c>
      <c r="L70" s="38"/>
      <c r="M70" s="38">
        <v>7009.3</v>
      </c>
      <c r="N70" s="38"/>
      <c r="O70" s="38">
        <v>1990.08</v>
      </c>
      <c r="P70" s="38"/>
      <c r="Q70" s="38">
        <v>3536.97</v>
      </c>
      <c r="R70" s="38"/>
      <c r="S70" s="38">
        <v>0</v>
      </c>
      <c r="T70" s="38"/>
      <c r="U70" s="38">
        <v>0</v>
      </c>
      <c r="V70" s="38"/>
      <c r="W70" s="38">
        <v>0</v>
      </c>
      <c r="X70" s="38"/>
      <c r="Y70" s="38">
        <v>0</v>
      </c>
      <c r="Z70" s="38"/>
      <c r="AA70" s="38">
        <v>36.1</v>
      </c>
      <c r="AB70" s="38"/>
      <c r="AC70" s="3">
        <f t="shared" si="1"/>
        <v>497742.58999999997</v>
      </c>
      <c r="AD70" s="39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3"/>
    </row>
    <row r="71" spans="1:43" s="8" customFormat="1" ht="12" hidden="1">
      <c r="A71" s="8" t="s">
        <v>145</v>
      </c>
      <c r="C71" s="8" t="s">
        <v>54</v>
      </c>
      <c r="E71" s="9">
        <v>0</v>
      </c>
      <c r="F71" s="9"/>
      <c r="G71" s="9">
        <v>0</v>
      </c>
      <c r="H71" s="9"/>
      <c r="I71" s="9">
        <v>0</v>
      </c>
      <c r="J71" s="9"/>
      <c r="K71" s="9">
        <v>0</v>
      </c>
      <c r="L71" s="9"/>
      <c r="M71" s="9">
        <v>0</v>
      </c>
      <c r="N71" s="9"/>
      <c r="O71" s="9">
        <v>0</v>
      </c>
      <c r="P71" s="9"/>
      <c r="Q71" s="9">
        <v>0</v>
      </c>
      <c r="R71" s="9"/>
      <c r="S71" s="9">
        <v>0</v>
      </c>
      <c r="T71" s="9"/>
      <c r="U71" s="9">
        <v>0</v>
      </c>
      <c r="V71" s="9"/>
      <c r="W71" s="9">
        <v>0</v>
      </c>
      <c r="X71" s="9"/>
      <c r="Y71" s="9">
        <v>0</v>
      </c>
      <c r="Z71" s="9"/>
      <c r="AA71" s="9">
        <v>0</v>
      </c>
      <c r="AB71" s="20"/>
      <c r="AC71" s="9">
        <f t="shared" si="1"/>
        <v>0</v>
      </c>
      <c r="AD71" s="20"/>
      <c r="AN71" s="8">
        <f>291659.98-128675.89</f>
        <v>162984.08999999997</v>
      </c>
      <c r="AQ71" s="8">
        <v>1174</v>
      </c>
    </row>
    <row r="72" spans="1:63" s="8" customFormat="1" ht="12">
      <c r="A72" s="38" t="s">
        <v>114</v>
      </c>
      <c r="B72" s="38"/>
      <c r="C72" s="38" t="s">
        <v>594</v>
      </c>
      <c r="D72" s="38"/>
      <c r="E72" s="38">
        <v>379608.9</v>
      </c>
      <c r="F72" s="38"/>
      <c r="G72" s="38">
        <v>93332.3</v>
      </c>
      <c r="H72" s="38"/>
      <c r="I72" s="38">
        <v>109520.59</v>
      </c>
      <c r="J72" s="38"/>
      <c r="K72" s="38">
        <v>165039.83</v>
      </c>
      <c r="L72" s="38"/>
      <c r="M72" s="38">
        <v>16343.7</v>
      </c>
      <c r="N72" s="38"/>
      <c r="O72" s="38">
        <v>2763.38</v>
      </c>
      <c r="P72" s="38"/>
      <c r="Q72" s="38">
        <v>29139.56</v>
      </c>
      <c r="R72" s="38"/>
      <c r="S72" s="38">
        <v>0</v>
      </c>
      <c r="T72" s="38"/>
      <c r="U72" s="38">
        <v>0</v>
      </c>
      <c r="V72" s="38"/>
      <c r="W72" s="38">
        <v>150000</v>
      </c>
      <c r="X72" s="38"/>
      <c r="Y72" s="38">
        <v>0</v>
      </c>
      <c r="Z72" s="38"/>
      <c r="AA72" s="38">
        <v>0</v>
      </c>
      <c r="AB72" s="38"/>
      <c r="AC72" s="3">
        <f aca="true" t="shared" si="2" ref="AC72:AC103">SUM(E72:AA72)</f>
        <v>945748.26</v>
      </c>
      <c r="AD72" s="39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3"/>
    </row>
    <row r="73" spans="1:29" s="8" customFormat="1" ht="12">
      <c r="A73" s="8" t="s">
        <v>115</v>
      </c>
      <c r="C73" s="8" t="s">
        <v>71</v>
      </c>
      <c r="E73" s="9">
        <v>154614</v>
      </c>
      <c r="F73" s="9"/>
      <c r="G73" s="9">
        <v>24387</v>
      </c>
      <c r="H73" s="9"/>
      <c r="I73" s="9">
        <v>40723</v>
      </c>
      <c r="J73" s="9"/>
      <c r="K73" s="9">
        <v>38365</v>
      </c>
      <c r="L73" s="9"/>
      <c r="M73" s="9">
        <v>10407</v>
      </c>
      <c r="N73" s="9"/>
      <c r="O73" s="9">
        <v>2530</v>
      </c>
      <c r="P73" s="9"/>
      <c r="Q73" s="9">
        <v>34879</v>
      </c>
      <c r="R73" s="9"/>
      <c r="S73" s="9">
        <v>0</v>
      </c>
      <c r="T73" s="9"/>
      <c r="U73" s="9">
        <v>0</v>
      </c>
      <c r="V73" s="9"/>
      <c r="W73" s="9">
        <v>0</v>
      </c>
      <c r="X73" s="9"/>
      <c r="Y73" s="9">
        <v>0</v>
      </c>
      <c r="Z73" s="9"/>
      <c r="AA73" s="9">
        <v>0</v>
      </c>
      <c r="AB73" s="9"/>
      <c r="AC73" s="9">
        <f t="shared" si="2"/>
        <v>305905</v>
      </c>
    </row>
    <row r="74" spans="1:29" s="8" customFormat="1" ht="12">
      <c r="A74" s="8" t="s">
        <v>116</v>
      </c>
      <c r="C74" s="8" t="s">
        <v>54</v>
      </c>
      <c r="E74" s="9">
        <v>399196</v>
      </c>
      <c r="F74" s="9"/>
      <c r="G74" s="9">
        <v>182184</v>
      </c>
      <c r="H74" s="9"/>
      <c r="I74" s="9">
        <v>67926</v>
      </c>
      <c r="J74" s="9"/>
      <c r="K74" s="9">
        <v>151266</v>
      </c>
      <c r="L74" s="9"/>
      <c r="M74" s="9">
        <v>8269</v>
      </c>
      <c r="N74" s="9"/>
      <c r="O74" s="9">
        <v>22250</v>
      </c>
      <c r="P74" s="9"/>
      <c r="Q74" s="9">
        <v>0</v>
      </c>
      <c r="R74" s="9"/>
      <c r="S74" s="9">
        <v>0</v>
      </c>
      <c r="T74" s="9"/>
      <c r="U74" s="9">
        <v>0</v>
      </c>
      <c r="V74" s="9"/>
      <c r="W74" s="9">
        <v>50000</v>
      </c>
      <c r="X74" s="9"/>
      <c r="Y74" s="9">
        <v>0</v>
      </c>
      <c r="Z74" s="9"/>
      <c r="AA74" s="9">
        <v>0</v>
      </c>
      <c r="AB74" s="9"/>
      <c r="AC74" s="9">
        <f t="shared" si="2"/>
        <v>881091</v>
      </c>
    </row>
    <row r="75" spans="1:43" s="8" customFormat="1" ht="12" hidden="1">
      <c r="A75" s="8" t="s">
        <v>147</v>
      </c>
      <c r="C75" s="8" t="s">
        <v>45</v>
      </c>
      <c r="E75" s="9">
        <v>0</v>
      </c>
      <c r="F75" s="9"/>
      <c r="G75" s="9">
        <v>0</v>
      </c>
      <c r="H75" s="9"/>
      <c r="I75" s="9">
        <v>0</v>
      </c>
      <c r="J75" s="9"/>
      <c r="K75" s="9">
        <v>0</v>
      </c>
      <c r="L75" s="9"/>
      <c r="M75" s="9">
        <v>0</v>
      </c>
      <c r="N75" s="9"/>
      <c r="O75" s="9">
        <v>0</v>
      </c>
      <c r="P75" s="9"/>
      <c r="Q75" s="9">
        <v>0</v>
      </c>
      <c r="R75" s="9"/>
      <c r="S75" s="9">
        <v>0</v>
      </c>
      <c r="T75" s="9"/>
      <c r="U75" s="9">
        <v>0</v>
      </c>
      <c r="V75" s="9"/>
      <c r="W75" s="9">
        <v>0</v>
      </c>
      <c r="X75" s="9"/>
      <c r="Y75" s="9">
        <v>0</v>
      </c>
      <c r="Z75" s="9"/>
      <c r="AA75" s="9">
        <v>0</v>
      </c>
      <c r="AB75" s="9"/>
      <c r="AC75" s="9">
        <f t="shared" si="2"/>
        <v>0</v>
      </c>
      <c r="AQ75" s="8">
        <v>414.65</v>
      </c>
    </row>
    <row r="76" spans="1:29" s="8" customFormat="1" ht="12">
      <c r="A76" s="8" t="s">
        <v>116</v>
      </c>
      <c r="C76" s="8" t="s">
        <v>117</v>
      </c>
      <c r="E76" s="9">
        <v>342842</v>
      </c>
      <c r="F76" s="9"/>
      <c r="G76" s="9">
        <v>0</v>
      </c>
      <c r="H76" s="9"/>
      <c r="I76" s="9">
        <f>1038172-342842-29557</f>
        <v>665773</v>
      </c>
      <c r="J76" s="9"/>
      <c r="K76" s="9">
        <v>0</v>
      </c>
      <c r="L76" s="9"/>
      <c r="M76" s="9">
        <v>0</v>
      </c>
      <c r="N76" s="9"/>
      <c r="O76" s="9">
        <v>0</v>
      </c>
      <c r="P76" s="9"/>
      <c r="Q76" s="9">
        <v>29557</v>
      </c>
      <c r="R76" s="9"/>
      <c r="S76" s="9">
        <v>0</v>
      </c>
      <c r="T76" s="9"/>
      <c r="U76" s="9">
        <v>0</v>
      </c>
      <c r="V76" s="9"/>
      <c r="W76" s="9">
        <v>100000</v>
      </c>
      <c r="X76" s="9"/>
      <c r="Y76" s="9">
        <v>0</v>
      </c>
      <c r="Z76" s="9"/>
      <c r="AA76" s="9">
        <v>0</v>
      </c>
      <c r="AB76" s="9"/>
      <c r="AC76" s="9">
        <f t="shared" si="2"/>
        <v>1138172</v>
      </c>
    </row>
    <row r="77" spans="1:63" s="8" customFormat="1" ht="12">
      <c r="A77" s="38" t="s">
        <v>118</v>
      </c>
      <c r="B77" s="38"/>
      <c r="C77" s="38" t="s">
        <v>551</v>
      </c>
      <c r="D77" s="38"/>
      <c r="E77" s="38">
        <v>359062.92</v>
      </c>
      <c r="F77" s="38"/>
      <c r="G77" s="38">
        <v>115691.54</v>
      </c>
      <c r="H77" s="38"/>
      <c r="I77" s="38">
        <v>124630.53</v>
      </c>
      <c r="J77" s="38"/>
      <c r="K77" s="38">
        <v>88326.13</v>
      </c>
      <c r="L77" s="38"/>
      <c r="M77" s="38">
        <v>23541.17</v>
      </c>
      <c r="N77" s="38"/>
      <c r="O77" s="38">
        <v>15400.28</v>
      </c>
      <c r="P77" s="38"/>
      <c r="Q77" s="38">
        <v>762071.4</v>
      </c>
      <c r="R77" s="38"/>
      <c r="S77" s="38">
        <v>0</v>
      </c>
      <c r="T77" s="38"/>
      <c r="U77" s="38">
        <v>0</v>
      </c>
      <c r="V77" s="38"/>
      <c r="W77" s="38">
        <v>0</v>
      </c>
      <c r="X77" s="38"/>
      <c r="Y77" s="38">
        <v>0</v>
      </c>
      <c r="Z77" s="38"/>
      <c r="AA77" s="38">
        <v>0</v>
      </c>
      <c r="AB77" s="38"/>
      <c r="AC77" s="3">
        <f t="shared" si="2"/>
        <v>1488723.9700000002</v>
      </c>
      <c r="AD77" s="39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3"/>
    </row>
    <row r="78" spans="1:29" s="8" customFormat="1" ht="12">
      <c r="A78" s="8" t="s">
        <v>119</v>
      </c>
      <c r="C78" s="8" t="s">
        <v>17</v>
      </c>
      <c r="E78" s="9">
        <v>116280</v>
      </c>
      <c r="F78" s="9"/>
      <c r="G78" s="9">
        <v>25465</v>
      </c>
      <c r="H78" s="9"/>
      <c r="I78" s="9">
        <v>18421</v>
      </c>
      <c r="J78" s="9"/>
      <c r="K78" s="9">
        <v>35887</v>
      </c>
      <c r="L78" s="9"/>
      <c r="M78" s="9">
        <v>6452</v>
      </c>
      <c r="N78" s="9"/>
      <c r="O78" s="9">
        <v>2563</v>
      </c>
      <c r="P78" s="9"/>
      <c r="Q78" s="9">
        <v>4194</v>
      </c>
      <c r="R78" s="9"/>
      <c r="S78" s="9">
        <v>0</v>
      </c>
      <c r="T78" s="9"/>
      <c r="U78" s="9">
        <v>0</v>
      </c>
      <c r="V78" s="9"/>
      <c r="W78" s="9">
        <v>0</v>
      </c>
      <c r="X78" s="9"/>
      <c r="Y78" s="9">
        <v>0</v>
      </c>
      <c r="Z78" s="9"/>
      <c r="AA78" s="9">
        <v>0</v>
      </c>
      <c r="AB78" s="9"/>
      <c r="AC78" s="9">
        <f t="shared" si="2"/>
        <v>209262</v>
      </c>
    </row>
    <row r="79" spans="1:29" s="8" customFormat="1" ht="12" hidden="1">
      <c r="A79" s="8" t="s">
        <v>151</v>
      </c>
      <c r="C79" s="8" t="s">
        <v>56</v>
      </c>
      <c r="E79" s="9">
        <v>0</v>
      </c>
      <c r="F79" s="9"/>
      <c r="G79" s="9">
        <v>0</v>
      </c>
      <c r="H79" s="9"/>
      <c r="I79" s="9">
        <v>0</v>
      </c>
      <c r="J79" s="9"/>
      <c r="K79" s="9">
        <v>0</v>
      </c>
      <c r="L79" s="9"/>
      <c r="M79" s="9">
        <v>0</v>
      </c>
      <c r="N79" s="9"/>
      <c r="O79" s="9">
        <v>0</v>
      </c>
      <c r="P79" s="9"/>
      <c r="Q79" s="9">
        <v>0</v>
      </c>
      <c r="R79" s="9"/>
      <c r="S79" s="9">
        <v>0</v>
      </c>
      <c r="T79" s="9"/>
      <c r="U79" s="9">
        <v>0</v>
      </c>
      <c r="V79" s="9"/>
      <c r="W79" s="9">
        <v>0</v>
      </c>
      <c r="X79" s="9"/>
      <c r="Y79" s="9">
        <v>0</v>
      </c>
      <c r="Z79" s="9"/>
      <c r="AA79" s="9">
        <v>0</v>
      </c>
      <c r="AB79" s="9"/>
      <c r="AC79" s="9">
        <f t="shared" si="2"/>
        <v>0</v>
      </c>
    </row>
    <row r="80" spans="1:29" s="8" customFormat="1" ht="12" hidden="1">
      <c r="A80" s="8" t="s">
        <v>152</v>
      </c>
      <c r="C80" s="8" t="s">
        <v>64</v>
      </c>
      <c r="E80" s="9">
        <v>0</v>
      </c>
      <c r="F80" s="9"/>
      <c r="G80" s="9">
        <v>0</v>
      </c>
      <c r="H80" s="9"/>
      <c r="I80" s="9">
        <v>0</v>
      </c>
      <c r="J80" s="9"/>
      <c r="K80" s="9">
        <v>0</v>
      </c>
      <c r="L80" s="9"/>
      <c r="M80" s="9">
        <v>0</v>
      </c>
      <c r="N80" s="9"/>
      <c r="O80" s="9">
        <v>0</v>
      </c>
      <c r="P80" s="9"/>
      <c r="Q80" s="9">
        <v>0</v>
      </c>
      <c r="R80" s="9"/>
      <c r="S80" s="9">
        <v>0</v>
      </c>
      <c r="T80" s="9"/>
      <c r="U80" s="9">
        <v>0</v>
      </c>
      <c r="V80" s="9"/>
      <c r="W80" s="9">
        <v>0</v>
      </c>
      <c r="X80" s="9"/>
      <c r="Y80" s="9">
        <v>0</v>
      </c>
      <c r="Z80" s="9"/>
      <c r="AA80" s="9">
        <v>0</v>
      </c>
      <c r="AB80" s="9"/>
      <c r="AC80" s="9">
        <f t="shared" si="2"/>
        <v>0</v>
      </c>
    </row>
    <row r="81" spans="1:29" s="8" customFormat="1" ht="12">
      <c r="A81" s="8" t="s">
        <v>345</v>
      </c>
      <c r="C81" s="8" t="s">
        <v>65</v>
      </c>
      <c r="E81" s="9">
        <v>486203</v>
      </c>
      <c r="F81" s="9"/>
      <c r="G81" s="9">
        <v>104285</v>
      </c>
      <c r="H81" s="9"/>
      <c r="I81" s="9">
        <v>190476</v>
      </c>
      <c r="J81" s="9"/>
      <c r="K81" s="9">
        <v>142579</v>
      </c>
      <c r="L81" s="9"/>
      <c r="M81" s="9">
        <v>27259</v>
      </c>
      <c r="N81" s="9"/>
      <c r="O81" s="9">
        <v>4696</v>
      </c>
      <c r="P81" s="9"/>
      <c r="Q81" s="9">
        <v>3017</v>
      </c>
      <c r="R81" s="9"/>
      <c r="S81" s="9">
        <v>0</v>
      </c>
      <c r="T81" s="9"/>
      <c r="U81" s="9">
        <v>0</v>
      </c>
      <c r="V81" s="9"/>
      <c r="W81" s="9">
        <v>0</v>
      </c>
      <c r="X81" s="9"/>
      <c r="Y81" s="9">
        <v>0</v>
      </c>
      <c r="Z81" s="9"/>
      <c r="AA81" s="9">
        <v>0</v>
      </c>
      <c r="AB81" s="9"/>
      <c r="AC81" s="9">
        <f t="shared" si="2"/>
        <v>958515</v>
      </c>
    </row>
    <row r="82" spans="1:29" s="8" customFormat="1" ht="12" hidden="1">
      <c r="A82" s="8" t="s">
        <v>154</v>
      </c>
      <c r="C82" s="8" t="s">
        <v>57</v>
      </c>
      <c r="E82" s="9">
        <v>0</v>
      </c>
      <c r="F82" s="9"/>
      <c r="G82" s="9">
        <v>0</v>
      </c>
      <c r="H82" s="9"/>
      <c r="I82" s="9">
        <v>0</v>
      </c>
      <c r="J82" s="9"/>
      <c r="K82" s="9">
        <v>0</v>
      </c>
      <c r="L82" s="9"/>
      <c r="M82" s="9">
        <v>0</v>
      </c>
      <c r="N82" s="9"/>
      <c r="O82" s="9">
        <v>0</v>
      </c>
      <c r="P82" s="9"/>
      <c r="Q82" s="9">
        <v>0</v>
      </c>
      <c r="R82" s="9"/>
      <c r="S82" s="9">
        <v>0</v>
      </c>
      <c r="T82" s="9"/>
      <c r="U82" s="9">
        <v>0</v>
      </c>
      <c r="V82" s="9"/>
      <c r="W82" s="9">
        <v>0</v>
      </c>
      <c r="X82" s="9"/>
      <c r="Y82" s="9">
        <v>0</v>
      </c>
      <c r="Z82" s="9"/>
      <c r="AA82" s="9">
        <v>0</v>
      </c>
      <c r="AB82" s="9"/>
      <c r="AC82" s="9">
        <f t="shared" si="2"/>
        <v>0</v>
      </c>
    </row>
    <row r="83" spans="1:29" s="8" customFormat="1" ht="12" hidden="1">
      <c r="A83" s="8" t="s">
        <v>155</v>
      </c>
      <c r="C83" s="8" t="s">
        <v>55</v>
      </c>
      <c r="E83" s="9">
        <v>0</v>
      </c>
      <c r="F83" s="9"/>
      <c r="G83" s="9">
        <v>0</v>
      </c>
      <c r="H83" s="9"/>
      <c r="I83" s="9">
        <v>0</v>
      </c>
      <c r="J83" s="9"/>
      <c r="K83" s="9">
        <v>0</v>
      </c>
      <c r="L83" s="9"/>
      <c r="M83" s="9">
        <v>0</v>
      </c>
      <c r="N83" s="9"/>
      <c r="O83" s="9">
        <v>0</v>
      </c>
      <c r="P83" s="9"/>
      <c r="Q83" s="9">
        <v>0</v>
      </c>
      <c r="R83" s="9"/>
      <c r="S83" s="9">
        <v>0</v>
      </c>
      <c r="T83" s="9"/>
      <c r="U83" s="9">
        <v>0</v>
      </c>
      <c r="V83" s="9"/>
      <c r="W83" s="9">
        <v>0</v>
      </c>
      <c r="X83" s="9"/>
      <c r="Y83" s="9">
        <v>0</v>
      </c>
      <c r="Z83" s="9"/>
      <c r="AA83" s="9">
        <v>0</v>
      </c>
      <c r="AB83" s="9"/>
      <c r="AC83" s="9">
        <f t="shared" si="2"/>
        <v>0</v>
      </c>
    </row>
    <row r="84" spans="1:63" s="8" customFormat="1" ht="12">
      <c r="A84" s="38" t="s">
        <v>602</v>
      </c>
      <c r="B84" s="38"/>
      <c r="C84" s="38" t="s">
        <v>603</v>
      </c>
      <c r="D84" s="38"/>
      <c r="E84" s="38">
        <v>1425722.62</v>
      </c>
      <c r="F84" s="38"/>
      <c r="G84" s="38">
        <v>466130.46</v>
      </c>
      <c r="H84" s="38"/>
      <c r="I84" s="38">
        <v>454014.76</v>
      </c>
      <c r="J84" s="38"/>
      <c r="K84" s="38">
        <v>375797.19</v>
      </c>
      <c r="L84" s="38"/>
      <c r="M84" s="38">
        <v>85356.24</v>
      </c>
      <c r="N84" s="38"/>
      <c r="O84" s="38">
        <v>9436.83</v>
      </c>
      <c r="P84" s="38"/>
      <c r="Q84" s="38">
        <v>42901.08</v>
      </c>
      <c r="R84" s="38"/>
      <c r="S84" s="38">
        <v>0</v>
      </c>
      <c r="T84" s="38"/>
      <c r="U84" s="38">
        <v>0</v>
      </c>
      <c r="V84" s="38"/>
      <c r="W84" s="38">
        <v>0</v>
      </c>
      <c r="X84" s="38"/>
      <c r="Y84" s="38">
        <v>0</v>
      </c>
      <c r="Z84" s="38"/>
      <c r="AA84" s="38">
        <v>0</v>
      </c>
      <c r="AB84" s="38"/>
      <c r="AC84" s="3">
        <f t="shared" si="2"/>
        <v>2859359.18</v>
      </c>
      <c r="AD84" s="39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3"/>
    </row>
    <row r="85" spans="1:29" s="8" customFormat="1" ht="12">
      <c r="A85" s="8" t="s">
        <v>122</v>
      </c>
      <c r="C85" s="8" t="s">
        <v>123</v>
      </c>
      <c r="E85" s="9">
        <v>2560037</v>
      </c>
      <c r="F85" s="9"/>
      <c r="G85" s="9">
        <v>1028518</v>
      </c>
      <c r="H85" s="9"/>
      <c r="I85" s="9">
        <v>1086941</v>
      </c>
      <c r="J85" s="9"/>
      <c r="K85" s="9">
        <v>1274955</v>
      </c>
      <c r="L85" s="9"/>
      <c r="M85" s="9">
        <v>175435</v>
      </c>
      <c r="N85" s="9"/>
      <c r="O85" s="9">
        <v>19533</v>
      </c>
      <c r="P85" s="9"/>
      <c r="Q85" s="9">
        <v>64037</v>
      </c>
      <c r="R85" s="9"/>
      <c r="S85" s="9">
        <v>0</v>
      </c>
      <c r="T85" s="9"/>
      <c r="U85" s="9">
        <v>0</v>
      </c>
      <c r="V85" s="9"/>
      <c r="W85" s="9">
        <v>35000</v>
      </c>
      <c r="X85" s="9"/>
      <c r="Y85" s="9">
        <v>0</v>
      </c>
      <c r="Z85" s="9"/>
      <c r="AA85" s="9">
        <v>0</v>
      </c>
      <c r="AB85" s="9"/>
      <c r="AC85" s="9">
        <f t="shared" si="2"/>
        <v>6244456</v>
      </c>
    </row>
    <row r="86" spans="1:29" s="8" customFormat="1" ht="12" hidden="1">
      <c r="A86" s="8" t="s">
        <v>159</v>
      </c>
      <c r="C86" s="8" t="s">
        <v>58</v>
      </c>
      <c r="E86" s="9">
        <v>0</v>
      </c>
      <c r="F86" s="9"/>
      <c r="G86" s="9">
        <v>0</v>
      </c>
      <c r="H86" s="9"/>
      <c r="I86" s="9">
        <v>0</v>
      </c>
      <c r="J86" s="9"/>
      <c r="K86" s="9">
        <v>0</v>
      </c>
      <c r="L86" s="9"/>
      <c r="M86" s="9">
        <v>0</v>
      </c>
      <c r="N86" s="9"/>
      <c r="O86" s="9">
        <v>0</v>
      </c>
      <c r="P86" s="9"/>
      <c r="Q86" s="9">
        <v>0</v>
      </c>
      <c r="R86" s="9"/>
      <c r="S86" s="9">
        <v>0</v>
      </c>
      <c r="T86" s="9"/>
      <c r="U86" s="9">
        <v>0</v>
      </c>
      <c r="V86" s="9"/>
      <c r="W86" s="9">
        <v>0</v>
      </c>
      <c r="X86" s="9"/>
      <c r="Y86" s="9">
        <v>0</v>
      </c>
      <c r="Z86" s="9"/>
      <c r="AA86" s="9">
        <v>0</v>
      </c>
      <c r="AB86" s="9"/>
      <c r="AC86" s="9">
        <f t="shared" si="2"/>
        <v>0</v>
      </c>
    </row>
    <row r="87" spans="1:29" s="8" customFormat="1" ht="12" hidden="1">
      <c r="A87" s="8" t="s">
        <v>37</v>
      </c>
      <c r="C87" s="8" t="s">
        <v>59</v>
      </c>
      <c r="E87" s="9">
        <v>0</v>
      </c>
      <c r="F87" s="9"/>
      <c r="G87" s="9">
        <v>0</v>
      </c>
      <c r="H87" s="9"/>
      <c r="I87" s="9">
        <v>0</v>
      </c>
      <c r="J87" s="9"/>
      <c r="K87" s="9">
        <v>0</v>
      </c>
      <c r="L87" s="9"/>
      <c r="M87" s="9">
        <v>0</v>
      </c>
      <c r="N87" s="9"/>
      <c r="O87" s="9">
        <v>0</v>
      </c>
      <c r="P87" s="9"/>
      <c r="Q87" s="9">
        <v>0</v>
      </c>
      <c r="R87" s="9"/>
      <c r="S87" s="9">
        <v>0</v>
      </c>
      <c r="T87" s="9"/>
      <c r="U87" s="9">
        <v>0</v>
      </c>
      <c r="V87" s="9"/>
      <c r="W87" s="9">
        <v>0</v>
      </c>
      <c r="X87" s="9"/>
      <c r="Y87" s="9">
        <v>0</v>
      </c>
      <c r="Z87" s="9"/>
      <c r="AA87" s="9">
        <v>0</v>
      </c>
      <c r="AB87" s="9"/>
      <c r="AC87" s="9">
        <f t="shared" si="2"/>
        <v>0</v>
      </c>
    </row>
    <row r="88" spans="1:29" s="8" customFormat="1" ht="12" hidden="1">
      <c r="A88" s="8" t="s">
        <v>38</v>
      </c>
      <c r="C88" s="8" t="s">
        <v>27</v>
      </c>
      <c r="E88" s="9">
        <v>0</v>
      </c>
      <c r="F88" s="9"/>
      <c r="G88" s="9">
        <v>0</v>
      </c>
      <c r="H88" s="9"/>
      <c r="I88" s="9">
        <v>0</v>
      </c>
      <c r="J88" s="9"/>
      <c r="K88" s="9">
        <v>0</v>
      </c>
      <c r="L88" s="9"/>
      <c r="M88" s="9">
        <v>0</v>
      </c>
      <c r="N88" s="9"/>
      <c r="O88" s="9">
        <v>0</v>
      </c>
      <c r="P88" s="9"/>
      <c r="Q88" s="9">
        <v>0</v>
      </c>
      <c r="R88" s="9"/>
      <c r="S88" s="9">
        <v>0</v>
      </c>
      <c r="T88" s="9"/>
      <c r="U88" s="9">
        <v>0</v>
      </c>
      <c r="V88" s="9"/>
      <c r="W88" s="9">
        <v>0</v>
      </c>
      <c r="X88" s="9"/>
      <c r="Y88" s="9">
        <v>0</v>
      </c>
      <c r="Z88" s="9"/>
      <c r="AA88" s="9">
        <v>0</v>
      </c>
      <c r="AB88" s="9"/>
      <c r="AC88" s="9">
        <f t="shared" si="2"/>
        <v>0</v>
      </c>
    </row>
    <row r="89" spans="1:29" s="8" customFormat="1" ht="12" hidden="1">
      <c r="A89" s="8" t="s">
        <v>160</v>
      </c>
      <c r="C89" s="8" t="s">
        <v>60</v>
      </c>
      <c r="E89" s="9">
        <v>0</v>
      </c>
      <c r="F89" s="9"/>
      <c r="G89" s="9">
        <v>0</v>
      </c>
      <c r="H89" s="9"/>
      <c r="I89" s="9">
        <v>0</v>
      </c>
      <c r="J89" s="9"/>
      <c r="K89" s="9">
        <v>0</v>
      </c>
      <c r="L89" s="9"/>
      <c r="M89" s="9">
        <v>0</v>
      </c>
      <c r="N89" s="9"/>
      <c r="O89" s="9">
        <v>0</v>
      </c>
      <c r="P89" s="9"/>
      <c r="Q89" s="9">
        <v>0</v>
      </c>
      <c r="R89" s="9"/>
      <c r="S89" s="9">
        <v>0</v>
      </c>
      <c r="T89" s="9"/>
      <c r="U89" s="9">
        <v>0</v>
      </c>
      <c r="V89" s="9"/>
      <c r="W89" s="9">
        <v>0</v>
      </c>
      <c r="X89" s="9"/>
      <c r="Y89" s="9">
        <v>0</v>
      </c>
      <c r="Z89" s="9"/>
      <c r="AA89" s="9">
        <v>0</v>
      </c>
      <c r="AB89" s="9"/>
      <c r="AC89" s="9">
        <f t="shared" si="2"/>
        <v>0</v>
      </c>
    </row>
    <row r="90" spans="1:29" s="8" customFormat="1" ht="12" hidden="1">
      <c r="A90" s="8" t="s">
        <v>350</v>
      </c>
      <c r="C90" s="8" t="s">
        <v>46</v>
      </c>
      <c r="E90" s="9">
        <v>0</v>
      </c>
      <c r="F90" s="9"/>
      <c r="G90" s="9">
        <v>0</v>
      </c>
      <c r="H90" s="9"/>
      <c r="I90" s="9">
        <v>0</v>
      </c>
      <c r="J90" s="9"/>
      <c r="K90" s="9">
        <v>0</v>
      </c>
      <c r="L90" s="9"/>
      <c r="M90" s="9">
        <v>0</v>
      </c>
      <c r="N90" s="9"/>
      <c r="O90" s="9">
        <v>0</v>
      </c>
      <c r="P90" s="9"/>
      <c r="Q90" s="9">
        <v>0</v>
      </c>
      <c r="R90" s="9"/>
      <c r="S90" s="9">
        <v>0</v>
      </c>
      <c r="T90" s="9"/>
      <c r="U90" s="9">
        <v>0</v>
      </c>
      <c r="V90" s="9"/>
      <c r="W90" s="9">
        <v>0</v>
      </c>
      <c r="X90" s="9"/>
      <c r="Y90" s="9">
        <v>0</v>
      </c>
      <c r="Z90" s="9"/>
      <c r="AA90" s="9">
        <v>0</v>
      </c>
      <c r="AB90" s="9"/>
      <c r="AC90" s="9">
        <f t="shared" si="2"/>
        <v>0</v>
      </c>
    </row>
    <row r="91" spans="1:63" s="8" customFormat="1" ht="12">
      <c r="A91" s="38" t="s">
        <v>347</v>
      </c>
      <c r="B91" s="38"/>
      <c r="C91" s="38" t="s">
        <v>598</v>
      </c>
      <c r="D91" s="38"/>
      <c r="E91" s="38">
        <v>241777.71</v>
      </c>
      <c r="F91" s="38"/>
      <c r="G91" s="38">
        <v>67157.29</v>
      </c>
      <c r="H91" s="38"/>
      <c r="I91" s="38">
        <v>50360.86</v>
      </c>
      <c r="J91" s="38"/>
      <c r="K91" s="38">
        <v>106892.38</v>
      </c>
      <c r="L91" s="38"/>
      <c r="M91" s="38">
        <v>14222.19</v>
      </c>
      <c r="N91" s="38"/>
      <c r="O91" s="38">
        <v>5317.09</v>
      </c>
      <c r="P91" s="38"/>
      <c r="Q91" s="38">
        <v>24771.56</v>
      </c>
      <c r="R91" s="38"/>
      <c r="S91" s="38">
        <v>0</v>
      </c>
      <c r="T91" s="38"/>
      <c r="U91" s="38">
        <v>0</v>
      </c>
      <c r="V91" s="38"/>
      <c r="W91" s="38">
        <v>0</v>
      </c>
      <c r="X91" s="38"/>
      <c r="Y91" s="38">
        <v>0</v>
      </c>
      <c r="Z91" s="38"/>
      <c r="AA91" s="38">
        <v>0</v>
      </c>
      <c r="AB91" s="38"/>
      <c r="AC91" s="3">
        <f t="shared" si="2"/>
        <v>510499.08</v>
      </c>
      <c r="AD91" s="39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3"/>
    </row>
    <row r="92" spans="1:29" s="8" customFormat="1" ht="12">
      <c r="A92" s="8" t="s">
        <v>125</v>
      </c>
      <c r="C92" s="8" t="s">
        <v>126</v>
      </c>
      <c r="E92" s="9">
        <v>588161</v>
      </c>
      <c r="F92" s="9"/>
      <c r="G92" s="9">
        <v>0</v>
      </c>
      <c r="H92" s="9"/>
      <c r="I92" s="9">
        <f>7020803-588161</f>
        <v>6432642</v>
      </c>
      <c r="J92" s="9"/>
      <c r="K92" s="9">
        <v>0</v>
      </c>
      <c r="L92" s="9"/>
      <c r="M92" s="9">
        <v>0</v>
      </c>
      <c r="N92" s="9"/>
      <c r="O92" s="9">
        <v>0</v>
      </c>
      <c r="P92" s="9"/>
      <c r="Q92" s="9">
        <v>0</v>
      </c>
      <c r="R92" s="9"/>
      <c r="S92" s="9">
        <v>0</v>
      </c>
      <c r="T92" s="9"/>
      <c r="U92" s="9">
        <v>0</v>
      </c>
      <c r="V92" s="9"/>
      <c r="W92" s="9">
        <v>398789</v>
      </c>
      <c r="X92" s="9"/>
      <c r="Y92" s="9">
        <v>41368</v>
      </c>
      <c r="Z92" s="9"/>
      <c r="AA92" s="9">
        <v>6396</v>
      </c>
      <c r="AB92" s="9"/>
      <c r="AC92" s="9">
        <f t="shared" si="2"/>
        <v>7467356</v>
      </c>
    </row>
    <row r="93" spans="1:29" s="8" customFormat="1" ht="12">
      <c r="A93" s="8" t="s">
        <v>483</v>
      </c>
      <c r="C93" s="8" t="s">
        <v>20</v>
      </c>
      <c r="E93" s="9">
        <v>1549018</v>
      </c>
      <c r="F93" s="9"/>
      <c r="G93" s="9">
        <v>0</v>
      </c>
      <c r="H93" s="9"/>
      <c r="I93" s="9">
        <v>6200089</v>
      </c>
      <c r="J93" s="9"/>
      <c r="K93" s="9">
        <v>0</v>
      </c>
      <c r="L93" s="9"/>
      <c r="M93" s="9">
        <v>0</v>
      </c>
      <c r="N93" s="9"/>
      <c r="O93" s="9">
        <v>0</v>
      </c>
      <c r="P93" s="9"/>
      <c r="Q93" s="9">
        <v>105366</v>
      </c>
      <c r="R93" s="9"/>
      <c r="S93" s="9">
        <v>79224</v>
      </c>
      <c r="T93" s="9"/>
      <c r="U93" s="9">
        <v>27532</v>
      </c>
      <c r="V93" s="9"/>
      <c r="W93" s="9">
        <v>300000</v>
      </c>
      <c r="X93" s="9"/>
      <c r="Y93" s="9">
        <v>0</v>
      </c>
      <c r="Z93" s="9"/>
      <c r="AA93" s="9">
        <v>0</v>
      </c>
      <c r="AB93" s="9"/>
      <c r="AC93" s="9">
        <f t="shared" si="2"/>
        <v>8261229</v>
      </c>
    </row>
    <row r="94" spans="1:29" s="8" customFormat="1" ht="12" hidden="1">
      <c r="A94" s="8" t="s">
        <v>166</v>
      </c>
      <c r="C94" s="8" t="s">
        <v>84</v>
      </c>
      <c r="E94" s="9">
        <v>0</v>
      </c>
      <c r="F94" s="9"/>
      <c r="G94" s="9">
        <v>0</v>
      </c>
      <c r="H94" s="9"/>
      <c r="I94" s="9">
        <v>0</v>
      </c>
      <c r="J94" s="9"/>
      <c r="K94" s="9">
        <v>0</v>
      </c>
      <c r="L94" s="9"/>
      <c r="M94" s="9">
        <v>0</v>
      </c>
      <c r="N94" s="9"/>
      <c r="O94" s="9">
        <v>0</v>
      </c>
      <c r="P94" s="9"/>
      <c r="Q94" s="9">
        <v>0</v>
      </c>
      <c r="R94" s="9"/>
      <c r="S94" s="9">
        <v>0</v>
      </c>
      <c r="T94" s="9"/>
      <c r="U94" s="9">
        <v>0</v>
      </c>
      <c r="V94" s="9"/>
      <c r="W94" s="9">
        <v>0</v>
      </c>
      <c r="X94" s="9"/>
      <c r="Y94" s="9">
        <v>0</v>
      </c>
      <c r="Z94" s="9"/>
      <c r="AA94" s="9">
        <v>0</v>
      </c>
      <c r="AB94" s="9"/>
      <c r="AC94" s="9">
        <f t="shared" si="2"/>
        <v>0</v>
      </c>
    </row>
    <row r="95" spans="1:29" s="8" customFormat="1" ht="12">
      <c r="A95" s="8" t="s">
        <v>484</v>
      </c>
      <c r="C95" s="8" t="s">
        <v>20</v>
      </c>
      <c r="E95" s="9">
        <v>0</v>
      </c>
      <c r="F95" s="9"/>
      <c r="G95" s="9">
        <v>0</v>
      </c>
      <c r="H95" s="9"/>
      <c r="I95" s="9">
        <f>64534484-305215</f>
        <v>64229269</v>
      </c>
      <c r="J95" s="9"/>
      <c r="K95" s="9">
        <v>0</v>
      </c>
      <c r="L95" s="9"/>
      <c r="M95" s="9">
        <v>0</v>
      </c>
      <c r="N95" s="9"/>
      <c r="O95" s="9">
        <v>0</v>
      </c>
      <c r="P95" s="9"/>
      <c r="Q95" s="9">
        <v>305215</v>
      </c>
      <c r="R95" s="9"/>
      <c r="S95" s="9">
        <v>0</v>
      </c>
      <c r="T95" s="9"/>
      <c r="U95" s="9">
        <v>0</v>
      </c>
      <c r="V95" s="9"/>
      <c r="W95" s="9">
        <v>3003575</v>
      </c>
      <c r="X95" s="9"/>
      <c r="Y95" s="9">
        <v>0</v>
      </c>
      <c r="Z95" s="9"/>
      <c r="AA95" s="9">
        <v>0</v>
      </c>
      <c r="AB95" s="9"/>
      <c r="AC95" s="9">
        <f t="shared" si="2"/>
        <v>67538059</v>
      </c>
    </row>
    <row r="96" spans="1:63" s="8" customFormat="1" ht="12">
      <c r="A96" s="38" t="s">
        <v>516</v>
      </c>
      <c r="B96" s="38"/>
      <c r="C96" s="38" t="s">
        <v>592</v>
      </c>
      <c r="D96" s="38"/>
      <c r="E96" s="38">
        <v>265220.44</v>
      </c>
      <c r="F96" s="38"/>
      <c r="G96" s="38">
        <v>50625.92</v>
      </c>
      <c r="H96" s="38"/>
      <c r="I96" s="38">
        <v>72231.17</v>
      </c>
      <c r="J96" s="38"/>
      <c r="K96" s="38">
        <v>83411.63</v>
      </c>
      <c r="L96" s="38"/>
      <c r="M96" s="38">
        <v>25770.67</v>
      </c>
      <c r="N96" s="38"/>
      <c r="O96" s="38">
        <v>8519.83</v>
      </c>
      <c r="P96" s="38"/>
      <c r="Q96" s="38">
        <v>11624.74</v>
      </c>
      <c r="R96" s="38"/>
      <c r="S96" s="38">
        <v>0</v>
      </c>
      <c r="T96" s="38"/>
      <c r="U96" s="38">
        <v>0</v>
      </c>
      <c r="V96" s="38"/>
      <c r="W96" s="38">
        <v>75589.66</v>
      </c>
      <c r="X96" s="38"/>
      <c r="Y96" s="38">
        <v>0</v>
      </c>
      <c r="Z96" s="38"/>
      <c r="AA96" s="38">
        <v>0</v>
      </c>
      <c r="AB96" s="38"/>
      <c r="AC96" s="3">
        <f t="shared" si="2"/>
        <v>592994.0599999999</v>
      </c>
      <c r="AD96" s="39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3"/>
    </row>
    <row r="97" spans="1:63" s="8" customFormat="1" ht="12">
      <c r="A97" s="38" t="s">
        <v>578</v>
      </c>
      <c r="B97" s="38"/>
      <c r="C97" s="38" t="s">
        <v>579</v>
      </c>
      <c r="D97" s="38"/>
      <c r="E97" s="38">
        <v>134829.55</v>
      </c>
      <c r="F97" s="38"/>
      <c r="G97" s="38">
        <v>38898.31</v>
      </c>
      <c r="H97" s="38"/>
      <c r="I97" s="38">
        <v>47272.24</v>
      </c>
      <c r="J97" s="38"/>
      <c r="K97" s="38">
        <v>35359.27</v>
      </c>
      <c r="L97" s="38"/>
      <c r="M97" s="38">
        <v>5749.46</v>
      </c>
      <c r="N97" s="38"/>
      <c r="O97" s="38">
        <v>2142.69</v>
      </c>
      <c r="P97" s="38"/>
      <c r="Q97" s="38">
        <v>16352.09</v>
      </c>
      <c r="R97" s="38"/>
      <c r="S97" s="38">
        <v>0</v>
      </c>
      <c r="T97" s="38"/>
      <c r="U97" s="38">
        <v>0</v>
      </c>
      <c r="V97" s="38"/>
      <c r="W97" s="38">
        <v>0</v>
      </c>
      <c r="X97" s="38"/>
      <c r="Y97" s="38">
        <v>0</v>
      </c>
      <c r="Z97" s="38"/>
      <c r="AA97" s="38">
        <v>0</v>
      </c>
      <c r="AB97" s="38"/>
      <c r="AC97" s="3">
        <f t="shared" si="2"/>
        <v>280603.61</v>
      </c>
      <c r="AD97" s="39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3"/>
    </row>
    <row r="98" spans="1:34" s="8" customFormat="1" ht="12" hidden="1">
      <c r="A98" s="8" t="s">
        <v>173</v>
      </c>
      <c r="C98" s="8" t="s">
        <v>46</v>
      </c>
      <c r="E98" s="9">
        <v>0</v>
      </c>
      <c r="F98" s="9"/>
      <c r="G98" s="9">
        <v>0</v>
      </c>
      <c r="H98" s="9"/>
      <c r="I98" s="9">
        <v>0</v>
      </c>
      <c r="J98" s="9"/>
      <c r="K98" s="9">
        <v>0</v>
      </c>
      <c r="L98" s="9"/>
      <c r="M98" s="9">
        <v>0</v>
      </c>
      <c r="N98" s="9"/>
      <c r="O98" s="9">
        <v>0</v>
      </c>
      <c r="P98" s="9"/>
      <c r="Q98" s="9">
        <v>0</v>
      </c>
      <c r="R98" s="9"/>
      <c r="S98" s="9">
        <v>0</v>
      </c>
      <c r="T98" s="9"/>
      <c r="U98" s="9">
        <v>0</v>
      </c>
      <c r="V98" s="9"/>
      <c r="W98" s="9">
        <v>0</v>
      </c>
      <c r="X98" s="9"/>
      <c r="Y98" s="9">
        <v>0</v>
      </c>
      <c r="Z98" s="9"/>
      <c r="AA98" s="9">
        <v>0</v>
      </c>
      <c r="AB98" s="9"/>
      <c r="AC98" s="9">
        <f t="shared" si="2"/>
        <v>0</v>
      </c>
      <c r="AH98" s="9"/>
    </row>
    <row r="99" spans="1:63" s="8" customFormat="1" ht="12">
      <c r="A99" s="38" t="s">
        <v>518</v>
      </c>
      <c r="B99" s="38"/>
      <c r="C99" s="38" t="s">
        <v>555</v>
      </c>
      <c r="D99" s="38"/>
      <c r="E99" s="38">
        <v>332854.55</v>
      </c>
      <c r="F99" s="38"/>
      <c r="G99" s="38">
        <v>68849.52</v>
      </c>
      <c r="H99" s="38"/>
      <c r="I99" s="38">
        <v>95297.17</v>
      </c>
      <c r="J99" s="38"/>
      <c r="K99" s="38">
        <v>153550.26</v>
      </c>
      <c r="L99" s="38"/>
      <c r="M99" s="38">
        <v>19219.37</v>
      </c>
      <c r="N99" s="38"/>
      <c r="O99" s="38">
        <v>6758.99</v>
      </c>
      <c r="P99" s="38"/>
      <c r="Q99" s="38">
        <v>39585.99</v>
      </c>
      <c r="R99" s="38"/>
      <c r="S99" s="38">
        <v>0</v>
      </c>
      <c r="T99" s="38"/>
      <c r="U99" s="38">
        <v>0</v>
      </c>
      <c r="V99" s="38"/>
      <c r="W99" s="38">
        <v>100000</v>
      </c>
      <c r="X99" s="38"/>
      <c r="Y99" s="38">
        <v>0</v>
      </c>
      <c r="Z99" s="38"/>
      <c r="AA99" s="38">
        <v>0</v>
      </c>
      <c r="AB99" s="38"/>
      <c r="AC99" s="3">
        <f t="shared" si="2"/>
        <v>816115.85</v>
      </c>
      <c r="AD99" s="39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3"/>
    </row>
    <row r="100" spans="1:34" s="8" customFormat="1" ht="12" hidden="1">
      <c r="A100" s="8" t="s">
        <v>39</v>
      </c>
      <c r="C100" s="8" t="s">
        <v>60</v>
      </c>
      <c r="E100" s="9">
        <v>0</v>
      </c>
      <c r="F100" s="9"/>
      <c r="G100" s="9">
        <v>0</v>
      </c>
      <c r="H100" s="9"/>
      <c r="I100" s="9">
        <v>0</v>
      </c>
      <c r="J100" s="9"/>
      <c r="K100" s="9">
        <v>0</v>
      </c>
      <c r="L100" s="9"/>
      <c r="M100" s="9">
        <v>0</v>
      </c>
      <c r="N100" s="9"/>
      <c r="O100" s="9">
        <v>0</v>
      </c>
      <c r="P100" s="9"/>
      <c r="Q100" s="9">
        <v>0</v>
      </c>
      <c r="R100" s="9"/>
      <c r="S100" s="9">
        <v>0</v>
      </c>
      <c r="T100" s="9"/>
      <c r="U100" s="9">
        <v>0</v>
      </c>
      <c r="V100" s="9"/>
      <c r="W100" s="9">
        <v>0</v>
      </c>
      <c r="X100" s="9"/>
      <c r="Y100" s="9">
        <v>0</v>
      </c>
      <c r="Z100" s="9"/>
      <c r="AA100" s="9">
        <v>0</v>
      </c>
      <c r="AB100" s="9"/>
      <c r="AC100" s="9">
        <f t="shared" si="2"/>
        <v>0</v>
      </c>
      <c r="AH100" s="9"/>
    </row>
    <row r="101" spans="1:34" s="8" customFormat="1" ht="12" hidden="1">
      <c r="A101" s="8" t="s">
        <v>176</v>
      </c>
      <c r="C101" s="8" t="s">
        <v>61</v>
      </c>
      <c r="E101" s="9">
        <v>0</v>
      </c>
      <c r="F101" s="9"/>
      <c r="G101" s="9">
        <v>0</v>
      </c>
      <c r="H101" s="9"/>
      <c r="I101" s="9">
        <v>0</v>
      </c>
      <c r="J101" s="9"/>
      <c r="K101" s="9">
        <v>0</v>
      </c>
      <c r="L101" s="9"/>
      <c r="M101" s="9">
        <v>0</v>
      </c>
      <c r="N101" s="9"/>
      <c r="O101" s="9">
        <v>0</v>
      </c>
      <c r="P101" s="9"/>
      <c r="Q101" s="9">
        <v>0</v>
      </c>
      <c r="R101" s="9"/>
      <c r="S101" s="9">
        <v>0</v>
      </c>
      <c r="T101" s="9"/>
      <c r="U101" s="9">
        <v>0</v>
      </c>
      <c r="V101" s="9"/>
      <c r="W101" s="9">
        <v>0</v>
      </c>
      <c r="X101" s="9"/>
      <c r="Y101" s="9">
        <v>0</v>
      </c>
      <c r="Z101" s="9"/>
      <c r="AA101" s="9">
        <v>0</v>
      </c>
      <c r="AB101" s="9"/>
      <c r="AC101" s="9">
        <f t="shared" si="2"/>
        <v>0</v>
      </c>
      <c r="AH101" s="9"/>
    </row>
    <row r="102" spans="1:29" s="8" customFormat="1" ht="12">
      <c r="A102" s="8" t="s">
        <v>128</v>
      </c>
      <c r="C102" s="8" t="s">
        <v>98</v>
      </c>
      <c r="E102" s="9">
        <v>24789129</v>
      </c>
      <c r="F102" s="9"/>
      <c r="G102" s="9">
        <v>6656132</v>
      </c>
      <c r="H102" s="9"/>
      <c r="I102" s="9">
        <v>8783873</v>
      </c>
      <c r="J102" s="9"/>
      <c r="K102" s="9">
        <v>6394435</v>
      </c>
      <c r="L102" s="9"/>
      <c r="M102" s="9">
        <v>1275493</v>
      </c>
      <c r="N102" s="9"/>
      <c r="O102" s="9">
        <v>778222</v>
      </c>
      <c r="P102" s="9"/>
      <c r="Q102" s="9">
        <v>1173856</v>
      </c>
      <c r="R102" s="9"/>
      <c r="S102" s="9">
        <v>0</v>
      </c>
      <c r="T102" s="9"/>
      <c r="U102" s="9">
        <v>0</v>
      </c>
      <c r="V102" s="9"/>
      <c r="W102" s="9">
        <v>2240975</v>
      </c>
      <c r="X102" s="9"/>
      <c r="Y102" s="9">
        <v>0</v>
      </c>
      <c r="Z102" s="9"/>
      <c r="AA102" s="9">
        <v>0</v>
      </c>
      <c r="AB102" s="9"/>
      <c r="AC102" s="9">
        <f t="shared" si="2"/>
        <v>52092115</v>
      </c>
    </row>
    <row r="103" spans="1:34" s="8" customFormat="1" ht="12" hidden="1">
      <c r="A103" s="8" t="s">
        <v>352</v>
      </c>
      <c r="C103" s="8" t="s">
        <v>178</v>
      </c>
      <c r="E103" s="9">
        <v>0</v>
      </c>
      <c r="F103" s="9"/>
      <c r="G103" s="9">
        <v>0</v>
      </c>
      <c r="H103" s="9"/>
      <c r="I103" s="9">
        <v>0</v>
      </c>
      <c r="J103" s="9"/>
      <c r="K103" s="9">
        <v>0</v>
      </c>
      <c r="L103" s="9"/>
      <c r="M103" s="9">
        <v>0</v>
      </c>
      <c r="N103" s="9"/>
      <c r="O103" s="9">
        <v>0</v>
      </c>
      <c r="P103" s="9"/>
      <c r="Q103" s="9">
        <v>0</v>
      </c>
      <c r="R103" s="9"/>
      <c r="S103" s="9">
        <v>0</v>
      </c>
      <c r="T103" s="9"/>
      <c r="U103" s="9">
        <v>0</v>
      </c>
      <c r="V103" s="9"/>
      <c r="W103" s="9">
        <v>0</v>
      </c>
      <c r="X103" s="9"/>
      <c r="Y103" s="9">
        <v>0</v>
      </c>
      <c r="Z103" s="9"/>
      <c r="AA103" s="9">
        <v>0</v>
      </c>
      <c r="AB103" s="9"/>
      <c r="AC103" s="9">
        <f t="shared" si="2"/>
        <v>0</v>
      </c>
      <c r="AH103" s="9"/>
    </row>
    <row r="104" spans="1:34" s="8" customFormat="1" ht="12" hidden="1">
      <c r="A104" s="8" t="s">
        <v>353</v>
      </c>
      <c r="C104" s="8" t="s">
        <v>44</v>
      </c>
      <c r="E104" s="9">
        <v>0</v>
      </c>
      <c r="F104" s="9"/>
      <c r="G104" s="9">
        <v>0</v>
      </c>
      <c r="H104" s="9"/>
      <c r="I104" s="9">
        <v>0</v>
      </c>
      <c r="J104" s="9"/>
      <c r="K104" s="9">
        <v>0</v>
      </c>
      <c r="L104" s="9"/>
      <c r="M104" s="9">
        <v>0</v>
      </c>
      <c r="N104" s="9"/>
      <c r="O104" s="9">
        <v>0</v>
      </c>
      <c r="P104" s="9"/>
      <c r="Q104" s="9">
        <v>0</v>
      </c>
      <c r="R104" s="9"/>
      <c r="S104" s="9">
        <v>0</v>
      </c>
      <c r="T104" s="9"/>
      <c r="U104" s="9">
        <v>0</v>
      </c>
      <c r="V104" s="9"/>
      <c r="W104" s="9">
        <v>0</v>
      </c>
      <c r="X104" s="9"/>
      <c r="Y104" s="9">
        <v>0</v>
      </c>
      <c r="Z104" s="9"/>
      <c r="AA104" s="9">
        <v>0</v>
      </c>
      <c r="AB104" s="9"/>
      <c r="AC104" s="9">
        <f aca="true" t="shared" si="3" ref="AC104:AC135">SUM(E104:AA104)</f>
        <v>0</v>
      </c>
      <c r="AH104" s="9"/>
    </row>
    <row r="105" spans="1:34" s="8" customFormat="1" ht="12" hidden="1">
      <c r="A105" s="8" t="s">
        <v>179</v>
      </c>
      <c r="C105" s="8" t="s">
        <v>59</v>
      </c>
      <c r="E105" s="9">
        <v>0</v>
      </c>
      <c r="F105" s="9"/>
      <c r="G105" s="9">
        <v>0</v>
      </c>
      <c r="H105" s="9"/>
      <c r="I105" s="9">
        <v>0</v>
      </c>
      <c r="J105" s="9"/>
      <c r="K105" s="9">
        <v>0</v>
      </c>
      <c r="L105" s="9"/>
      <c r="M105" s="9">
        <v>0</v>
      </c>
      <c r="N105" s="9"/>
      <c r="O105" s="9">
        <v>0</v>
      </c>
      <c r="P105" s="9"/>
      <c r="Q105" s="9">
        <v>0</v>
      </c>
      <c r="R105" s="9"/>
      <c r="S105" s="9">
        <v>0</v>
      </c>
      <c r="T105" s="9"/>
      <c r="U105" s="9">
        <v>0</v>
      </c>
      <c r="V105" s="9"/>
      <c r="W105" s="9">
        <v>0</v>
      </c>
      <c r="X105" s="9"/>
      <c r="Y105" s="9">
        <v>0</v>
      </c>
      <c r="Z105" s="9"/>
      <c r="AA105" s="9">
        <v>0</v>
      </c>
      <c r="AB105" s="9"/>
      <c r="AC105" s="9">
        <f t="shared" si="3"/>
        <v>0</v>
      </c>
      <c r="AH105" s="9"/>
    </row>
    <row r="106" spans="1:63" s="8" customFormat="1" ht="12">
      <c r="A106" s="38" t="s">
        <v>519</v>
      </c>
      <c r="B106" s="38"/>
      <c r="C106" s="38" t="s">
        <v>559</v>
      </c>
      <c r="D106" s="38"/>
      <c r="E106" s="38">
        <v>393716.93</v>
      </c>
      <c r="F106" s="38"/>
      <c r="G106" s="38">
        <v>109429.74</v>
      </c>
      <c r="H106" s="38"/>
      <c r="I106" s="38">
        <v>110938.73</v>
      </c>
      <c r="J106" s="38"/>
      <c r="K106" s="38">
        <v>65079.98</v>
      </c>
      <c r="L106" s="38"/>
      <c r="M106" s="38">
        <v>14299.15</v>
      </c>
      <c r="N106" s="38"/>
      <c r="O106" s="38">
        <v>1772</v>
      </c>
      <c r="P106" s="38"/>
      <c r="Q106" s="38">
        <v>9453.02</v>
      </c>
      <c r="R106" s="38"/>
      <c r="S106" s="38">
        <v>0</v>
      </c>
      <c r="T106" s="38"/>
      <c r="U106" s="38">
        <v>0</v>
      </c>
      <c r="V106" s="38"/>
      <c r="W106" s="38">
        <v>0</v>
      </c>
      <c r="X106" s="38"/>
      <c r="Y106" s="38">
        <v>0</v>
      </c>
      <c r="Z106" s="38"/>
      <c r="AA106" s="38">
        <v>0</v>
      </c>
      <c r="AB106" s="38"/>
      <c r="AC106" s="3">
        <f t="shared" si="3"/>
        <v>704689.55</v>
      </c>
      <c r="AD106" s="39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3"/>
    </row>
    <row r="107" spans="1:29" s="8" customFormat="1" ht="12">
      <c r="A107" s="8" t="s">
        <v>129</v>
      </c>
      <c r="C107" s="8" t="s">
        <v>46</v>
      </c>
      <c r="E107" s="9">
        <v>331615</v>
      </c>
      <c r="F107" s="9"/>
      <c r="G107" s="9">
        <v>93520</v>
      </c>
      <c r="H107" s="9"/>
      <c r="I107" s="9">
        <v>54728</v>
      </c>
      <c r="J107" s="9"/>
      <c r="K107" s="9">
        <v>101226</v>
      </c>
      <c r="L107" s="9"/>
      <c r="M107" s="9">
        <v>26009</v>
      </c>
      <c r="N107" s="9"/>
      <c r="O107" s="9">
        <v>10984</v>
      </c>
      <c r="P107" s="9"/>
      <c r="Q107" s="9">
        <v>19207</v>
      </c>
      <c r="R107" s="9"/>
      <c r="S107" s="9">
        <v>0</v>
      </c>
      <c r="T107" s="9"/>
      <c r="U107" s="9">
        <v>0</v>
      </c>
      <c r="V107" s="9"/>
      <c r="W107" s="9">
        <v>0</v>
      </c>
      <c r="X107" s="9"/>
      <c r="Y107" s="9">
        <v>0</v>
      </c>
      <c r="Z107" s="9"/>
      <c r="AA107" s="9">
        <v>0</v>
      </c>
      <c r="AB107" s="9"/>
      <c r="AC107" s="9">
        <f t="shared" si="3"/>
        <v>637289</v>
      </c>
    </row>
    <row r="108" spans="1:34" s="8" customFormat="1" ht="12" hidden="1">
      <c r="A108" s="8" t="s">
        <v>40</v>
      </c>
      <c r="C108" s="8" t="s">
        <v>13</v>
      </c>
      <c r="E108" s="9">
        <v>0</v>
      </c>
      <c r="F108" s="9"/>
      <c r="G108" s="9">
        <v>0</v>
      </c>
      <c r="H108" s="9"/>
      <c r="I108" s="9">
        <v>0</v>
      </c>
      <c r="J108" s="9"/>
      <c r="K108" s="9">
        <v>0</v>
      </c>
      <c r="L108" s="9"/>
      <c r="M108" s="9">
        <v>0</v>
      </c>
      <c r="N108" s="9"/>
      <c r="O108" s="9">
        <v>0</v>
      </c>
      <c r="P108" s="9"/>
      <c r="Q108" s="9">
        <v>0</v>
      </c>
      <c r="R108" s="9"/>
      <c r="S108" s="9">
        <v>0</v>
      </c>
      <c r="T108" s="9"/>
      <c r="U108" s="9">
        <v>0</v>
      </c>
      <c r="V108" s="9"/>
      <c r="W108" s="9">
        <v>0</v>
      </c>
      <c r="X108" s="9"/>
      <c r="Y108" s="9">
        <v>0</v>
      </c>
      <c r="Z108" s="9"/>
      <c r="AA108" s="9">
        <v>0</v>
      </c>
      <c r="AB108" s="9"/>
      <c r="AC108" s="9">
        <f t="shared" si="3"/>
        <v>0</v>
      </c>
      <c r="AH108" s="9"/>
    </row>
    <row r="109" spans="1:29" s="8" customFormat="1" ht="12">
      <c r="A109" s="8" t="s">
        <v>130</v>
      </c>
      <c r="C109" s="8" t="s">
        <v>131</v>
      </c>
      <c r="E109" s="9">
        <v>762257</v>
      </c>
      <c r="F109" s="9"/>
      <c r="G109" s="9">
        <v>192165</v>
      </c>
      <c r="H109" s="9"/>
      <c r="I109" s="9">
        <v>173771</v>
      </c>
      <c r="J109" s="9"/>
      <c r="K109" s="9">
        <v>203935</v>
      </c>
      <c r="L109" s="9"/>
      <c r="M109" s="9">
        <v>27691</v>
      </c>
      <c r="N109" s="9"/>
      <c r="O109" s="9">
        <v>10082</v>
      </c>
      <c r="P109" s="9"/>
      <c r="Q109" s="9">
        <v>10404</v>
      </c>
      <c r="R109" s="9"/>
      <c r="S109" s="9">
        <v>0</v>
      </c>
      <c r="T109" s="9"/>
      <c r="U109" s="9">
        <v>0</v>
      </c>
      <c r="V109" s="9"/>
      <c r="W109" s="9">
        <v>92840</v>
      </c>
      <c r="X109" s="9"/>
      <c r="Y109" s="9">
        <v>0</v>
      </c>
      <c r="Z109" s="9"/>
      <c r="AA109" s="9">
        <v>0</v>
      </c>
      <c r="AB109" s="9"/>
      <c r="AC109" s="9">
        <f t="shared" si="3"/>
        <v>1473145</v>
      </c>
    </row>
    <row r="110" spans="1:34" s="8" customFormat="1" ht="12" hidden="1">
      <c r="A110" s="8" t="s">
        <v>184</v>
      </c>
      <c r="C110" s="8" t="s">
        <v>56</v>
      </c>
      <c r="E110" s="9">
        <v>0</v>
      </c>
      <c r="F110" s="9"/>
      <c r="G110" s="9">
        <v>0</v>
      </c>
      <c r="H110" s="9"/>
      <c r="I110" s="9">
        <v>0</v>
      </c>
      <c r="J110" s="9"/>
      <c r="K110" s="9">
        <v>0</v>
      </c>
      <c r="L110" s="9"/>
      <c r="M110" s="9">
        <v>0</v>
      </c>
      <c r="N110" s="9"/>
      <c r="O110" s="9">
        <v>0</v>
      </c>
      <c r="P110" s="9"/>
      <c r="Q110" s="9">
        <v>0</v>
      </c>
      <c r="R110" s="9"/>
      <c r="S110" s="9">
        <v>0</v>
      </c>
      <c r="T110" s="9"/>
      <c r="U110" s="9">
        <v>0</v>
      </c>
      <c r="V110" s="9"/>
      <c r="W110" s="9">
        <v>0</v>
      </c>
      <c r="X110" s="9"/>
      <c r="Y110" s="9">
        <v>0</v>
      </c>
      <c r="Z110" s="9"/>
      <c r="AA110" s="9">
        <v>0</v>
      </c>
      <c r="AB110" s="9"/>
      <c r="AC110" s="9">
        <f t="shared" si="3"/>
        <v>0</v>
      </c>
      <c r="AH110" s="9"/>
    </row>
    <row r="111" spans="1:34" s="8" customFormat="1" ht="12" hidden="1">
      <c r="A111" s="8" t="s">
        <v>185</v>
      </c>
      <c r="C111" s="8" t="s">
        <v>186</v>
      </c>
      <c r="E111" s="9">
        <v>0</v>
      </c>
      <c r="F111" s="9"/>
      <c r="G111" s="9">
        <v>0</v>
      </c>
      <c r="H111" s="9"/>
      <c r="I111" s="9">
        <v>0</v>
      </c>
      <c r="J111" s="9"/>
      <c r="K111" s="9">
        <v>0</v>
      </c>
      <c r="L111" s="9"/>
      <c r="M111" s="9">
        <v>0</v>
      </c>
      <c r="N111" s="9"/>
      <c r="O111" s="9">
        <v>0</v>
      </c>
      <c r="P111" s="9"/>
      <c r="Q111" s="9">
        <v>0</v>
      </c>
      <c r="R111" s="9"/>
      <c r="S111" s="9">
        <v>0</v>
      </c>
      <c r="T111" s="9"/>
      <c r="U111" s="9">
        <v>0</v>
      </c>
      <c r="V111" s="9"/>
      <c r="W111" s="9">
        <v>0</v>
      </c>
      <c r="X111" s="9"/>
      <c r="Y111" s="9">
        <v>0</v>
      </c>
      <c r="Z111" s="9"/>
      <c r="AA111" s="9">
        <v>0</v>
      </c>
      <c r="AB111" s="9"/>
      <c r="AC111" s="9">
        <f t="shared" si="3"/>
        <v>0</v>
      </c>
      <c r="AH111" s="9"/>
    </row>
    <row r="112" spans="1:34" s="8" customFormat="1" ht="12" hidden="1">
      <c r="A112" s="8" t="s">
        <v>387</v>
      </c>
      <c r="C112" s="8" t="s">
        <v>62</v>
      </c>
      <c r="E112" s="9">
        <v>0</v>
      </c>
      <c r="F112" s="9"/>
      <c r="G112" s="9">
        <v>0</v>
      </c>
      <c r="H112" s="9"/>
      <c r="I112" s="9">
        <v>0</v>
      </c>
      <c r="J112" s="9"/>
      <c r="K112" s="9">
        <v>0</v>
      </c>
      <c r="L112" s="9"/>
      <c r="M112" s="9">
        <v>0</v>
      </c>
      <c r="N112" s="9"/>
      <c r="O112" s="9">
        <v>0</v>
      </c>
      <c r="P112" s="9"/>
      <c r="Q112" s="9">
        <v>0</v>
      </c>
      <c r="R112" s="9"/>
      <c r="S112" s="9">
        <v>0</v>
      </c>
      <c r="T112" s="9"/>
      <c r="U112" s="9">
        <v>0</v>
      </c>
      <c r="V112" s="9"/>
      <c r="W112" s="9">
        <v>0</v>
      </c>
      <c r="X112" s="9"/>
      <c r="Y112" s="9">
        <v>0</v>
      </c>
      <c r="Z112" s="9"/>
      <c r="AA112" s="9">
        <v>0</v>
      </c>
      <c r="AB112" s="9"/>
      <c r="AC112" s="9">
        <f t="shared" si="3"/>
        <v>0</v>
      </c>
      <c r="AH112" s="9"/>
    </row>
    <row r="113" spans="1:63" s="8" customFormat="1" ht="12">
      <c r="A113" s="38" t="s">
        <v>132</v>
      </c>
      <c r="B113" s="38"/>
      <c r="C113" s="38" t="s">
        <v>556</v>
      </c>
      <c r="D113" s="38"/>
      <c r="E113" s="38">
        <v>231082</v>
      </c>
      <c r="F113" s="38"/>
      <c r="G113" s="38">
        <v>37115.68</v>
      </c>
      <c r="H113" s="38"/>
      <c r="I113" s="38">
        <v>83269.73</v>
      </c>
      <c r="J113" s="38"/>
      <c r="K113" s="38">
        <v>102327.49</v>
      </c>
      <c r="L113" s="38"/>
      <c r="M113" s="38">
        <v>25369.76</v>
      </c>
      <c r="N113" s="38"/>
      <c r="O113" s="38">
        <v>3810.77</v>
      </c>
      <c r="P113" s="38"/>
      <c r="Q113" s="38">
        <v>50514.87</v>
      </c>
      <c r="R113" s="38"/>
      <c r="S113" s="38">
        <v>0</v>
      </c>
      <c r="T113" s="38"/>
      <c r="U113" s="38">
        <v>0</v>
      </c>
      <c r="V113" s="38"/>
      <c r="W113" s="38">
        <v>0</v>
      </c>
      <c r="X113" s="38"/>
      <c r="Y113" s="38">
        <v>0</v>
      </c>
      <c r="Z113" s="38"/>
      <c r="AA113" s="38">
        <v>0</v>
      </c>
      <c r="AB113" s="38"/>
      <c r="AC113" s="3">
        <f t="shared" si="3"/>
        <v>533490.3</v>
      </c>
      <c r="AD113" s="39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3"/>
    </row>
    <row r="114" spans="1:29" s="8" customFormat="1" ht="12" hidden="1">
      <c r="A114" s="8" t="s">
        <v>189</v>
      </c>
      <c r="C114" s="8" t="s">
        <v>190</v>
      </c>
      <c r="E114" s="9">
        <v>0</v>
      </c>
      <c r="F114" s="9"/>
      <c r="G114" s="9">
        <v>0</v>
      </c>
      <c r="H114" s="9"/>
      <c r="I114" s="9">
        <v>0</v>
      </c>
      <c r="J114" s="9"/>
      <c r="K114" s="9">
        <v>0</v>
      </c>
      <c r="L114" s="9"/>
      <c r="M114" s="9">
        <v>0</v>
      </c>
      <c r="N114" s="9"/>
      <c r="O114" s="9">
        <v>0</v>
      </c>
      <c r="P114" s="9"/>
      <c r="Q114" s="9">
        <v>0</v>
      </c>
      <c r="R114" s="9"/>
      <c r="S114" s="9">
        <v>0</v>
      </c>
      <c r="T114" s="9"/>
      <c r="U114" s="9">
        <v>0</v>
      </c>
      <c r="V114" s="9"/>
      <c r="W114" s="9">
        <v>0</v>
      </c>
      <c r="X114" s="9"/>
      <c r="Y114" s="9">
        <v>0</v>
      </c>
      <c r="Z114" s="9"/>
      <c r="AA114" s="9">
        <v>0</v>
      </c>
      <c r="AB114" s="9"/>
      <c r="AC114" s="9">
        <f t="shared" si="3"/>
        <v>0</v>
      </c>
    </row>
    <row r="115" spans="1:29" s="8" customFormat="1" ht="12" hidden="1">
      <c r="A115" s="8" t="s">
        <v>191</v>
      </c>
      <c r="C115" s="8" t="s">
        <v>46</v>
      </c>
      <c r="E115" s="9">
        <v>0</v>
      </c>
      <c r="F115" s="9"/>
      <c r="G115" s="9">
        <v>0</v>
      </c>
      <c r="H115" s="9"/>
      <c r="I115" s="9">
        <v>0</v>
      </c>
      <c r="J115" s="9"/>
      <c r="K115" s="9">
        <v>0</v>
      </c>
      <c r="L115" s="9"/>
      <c r="M115" s="9">
        <v>0</v>
      </c>
      <c r="N115" s="9"/>
      <c r="O115" s="9">
        <v>0</v>
      </c>
      <c r="P115" s="9"/>
      <c r="Q115" s="9">
        <v>0</v>
      </c>
      <c r="R115" s="9"/>
      <c r="S115" s="9">
        <v>0</v>
      </c>
      <c r="T115" s="9"/>
      <c r="U115" s="9">
        <v>0</v>
      </c>
      <c r="V115" s="9"/>
      <c r="W115" s="9">
        <v>0</v>
      </c>
      <c r="X115" s="9"/>
      <c r="Y115" s="9">
        <v>0</v>
      </c>
      <c r="Z115" s="9"/>
      <c r="AA115" s="9">
        <v>0</v>
      </c>
      <c r="AB115" s="9"/>
      <c r="AC115" s="9">
        <f t="shared" si="3"/>
        <v>0</v>
      </c>
    </row>
    <row r="116" spans="1:29" s="8" customFormat="1" ht="12" hidden="1">
      <c r="A116" s="8" t="s">
        <v>192</v>
      </c>
      <c r="C116" s="8" t="s">
        <v>59</v>
      </c>
      <c r="E116" s="9">
        <v>0</v>
      </c>
      <c r="F116" s="9"/>
      <c r="G116" s="9">
        <v>0</v>
      </c>
      <c r="H116" s="9"/>
      <c r="I116" s="9">
        <v>0</v>
      </c>
      <c r="J116" s="9"/>
      <c r="K116" s="9">
        <v>0</v>
      </c>
      <c r="L116" s="9"/>
      <c r="M116" s="9">
        <v>0</v>
      </c>
      <c r="N116" s="9"/>
      <c r="O116" s="9">
        <v>0</v>
      </c>
      <c r="P116" s="9"/>
      <c r="Q116" s="9">
        <v>0</v>
      </c>
      <c r="R116" s="9"/>
      <c r="S116" s="9">
        <v>0</v>
      </c>
      <c r="T116" s="9"/>
      <c r="U116" s="9">
        <v>0</v>
      </c>
      <c r="V116" s="9"/>
      <c r="W116" s="9">
        <v>0</v>
      </c>
      <c r="X116" s="9"/>
      <c r="Y116" s="9">
        <v>0</v>
      </c>
      <c r="Z116" s="9"/>
      <c r="AA116" s="9">
        <v>0</v>
      </c>
      <c r="AB116" s="9"/>
      <c r="AC116" s="9">
        <f t="shared" si="3"/>
        <v>0</v>
      </c>
    </row>
    <row r="117" spans="1:29" s="8" customFormat="1" ht="12" hidden="1">
      <c r="A117" s="8" t="s">
        <v>193</v>
      </c>
      <c r="C117" s="8" t="s">
        <v>16</v>
      </c>
      <c r="E117" s="9">
        <v>0</v>
      </c>
      <c r="F117" s="9"/>
      <c r="G117" s="9">
        <v>0</v>
      </c>
      <c r="H117" s="9"/>
      <c r="I117" s="9">
        <v>0</v>
      </c>
      <c r="J117" s="9"/>
      <c r="K117" s="9">
        <v>0</v>
      </c>
      <c r="L117" s="9"/>
      <c r="M117" s="9">
        <v>0</v>
      </c>
      <c r="N117" s="9"/>
      <c r="O117" s="9">
        <v>0</v>
      </c>
      <c r="P117" s="9"/>
      <c r="Q117" s="9">
        <v>0</v>
      </c>
      <c r="R117" s="9"/>
      <c r="S117" s="9">
        <v>0</v>
      </c>
      <c r="T117" s="9"/>
      <c r="U117" s="9">
        <v>0</v>
      </c>
      <c r="V117" s="9"/>
      <c r="W117" s="9">
        <v>0</v>
      </c>
      <c r="X117" s="9"/>
      <c r="Y117" s="9">
        <v>0</v>
      </c>
      <c r="Z117" s="9"/>
      <c r="AA117" s="9">
        <v>0</v>
      </c>
      <c r="AB117" s="9"/>
      <c r="AC117" s="9">
        <f t="shared" si="3"/>
        <v>0</v>
      </c>
    </row>
    <row r="118" spans="1:29" s="8" customFormat="1" ht="12">
      <c r="A118" s="8" t="s">
        <v>133</v>
      </c>
      <c r="C118" s="8" t="s">
        <v>20</v>
      </c>
      <c r="E118" s="9">
        <v>12243521</v>
      </c>
      <c r="F118" s="9"/>
      <c r="G118" s="9">
        <v>0</v>
      </c>
      <c r="H118" s="9"/>
      <c r="I118" s="9">
        <f>61660646-2794809-12243521</f>
        <v>46622316</v>
      </c>
      <c r="J118" s="9"/>
      <c r="K118" s="9">
        <v>0</v>
      </c>
      <c r="L118" s="9"/>
      <c r="M118" s="9">
        <v>0</v>
      </c>
      <c r="N118" s="9"/>
      <c r="O118" s="9">
        <v>0</v>
      </c>
      <c r="P118" s="9"/>
      <c r="Q118" s="9">
        <v>2794809</v>
      </c>
      <c r="R118" s="9"/>
      <c r="S118" s="9">
        <v>0</v>
      </c>
      <c r="T118" s="9"/>
      <c r="U118" s="9">
        <v>0</v>
      </c>
      <c r="V118" s="9"/>
      <c r="W118" s="9">
        <v>5209195</v>
      </c>
      <c r="X118" s="9"/>
      <c r="Y118" s="9">
        <v>0</v>
      </c>
      <c r="Z118" s="9"/>
      <c r="AA118" s="9">
        <v>0</v>
      </c>
      <c r="AB118" s="9"/>
      <c r="AC118" s="9">
        <f t="shared" si="3"/>
        <v>66869841</v>
      </c>
    </row>
    <row r="119" spans="1:29" s="8" customFormat="1" ht="12">
      <c r="A119" s="8" t="s">
        <v>134</v>
      </c>
      <c r="C119" s="8" t="s">
        <v>58</v>
      </c>
      <c r="E119" s="9">
        <v>2936278</v>
      </c>
      <c r="F119" s="9"/>
      <c r="G119" s="9">
        <v>0</v>
      </c>
      <c r="H119" s="9"/>
      <c r="I119" s="9">
        <f>27808651-2936278-1189009</f>
        <v>23683364</v>
      </c>
      <c r="J119" s="9"/>
      <c r="K119" s="9">
        <v>0</v>
      </c>
      <c r="L119" s="9"/>
      <c r="M119" s="9">
        <v>0</v>
      </c>
      <c r="N119" s="9"/>
      <c r="O119" s="9">
        <v>0</v>
      </c>
      <c r="P119" s="9"/>
      <c r="Q119" s="9">
        <v>1189009</v>
      </c>
      <c r="R119" s="9"/>
      <c r="S119" s="9">
        <v>0</v>
      </c>
      <c r="T119" s="9"/>
      <c r="U119" s="9">
        <v>0</v>
      </c>
      <c r="V119" s="9"/>
      <c r="W119" s="9">
        <v>4143566</v>
      </c>
      <c r="X119" s="9"/>
      <c r="Y119" s="9">
        <v>0</v>
      </c>
      <c r="Z119" s="9"/>
      <c r="AA119" s="9">
        <v>0</v>
      </c>
      <c r="AB119" s="9"/>
      <c r="AC119" s="9">
        <f t="shared" si="3"/>
        <v>31952217</v>
      </c>
    </row>
    <row r="120" spans="1:29" s="8" customFormat="1" ht="12" hidden="1">
      <c r="A120" s="8" t="s">
        <v>194</v>
      </c>
      <c r="C120" s="8" t="s">
        <v>57</v>
      </c>
      <c r="E120" s="9">
        <v>0</v>
      </c>
      <c r="F120" s="9"/>
      <c r="G120" s="9">
        <v>0</v>
      </c>
      <c r="H120" s="9"/>
      <c r="I120" s="9">
        <v>0</v>
      </c>
      <c r="J120" s="9"/>
      <c r="K120" s="9">
        <v>0</v>
      </c>
      <c r="L120" s="9"/>
      <c r="M120" s="9">
        <v>0</v>
      </c>
      <c r="N120" s="9"/>
      <c r="O120" s="9">
        <v>0</v>
      </c>
      <c r="P120" s="9"/>
      <c r="Q120" s="9">
        <v>0</v>
      </c>
      <c r="R120" s="9"/>
      <c r="S120" s="9">
        <v>0</v>
      </c>
      <c r="T120" s="9"/>
      <c r="U120" s="9">
        <v>0</v>
      </c>
      <c r="V120" s="9"/>
      <c r="W120" s="9">
        <v>0</v>
      </c>
      <c r="X120" s="9"/>
      <c r="Y120" s="9">
        <v>0</v>
      </c>
      <c r="Z120" s="9"/>
      <c r="AA120" s="9">
        <v>0</v>
      </c>
      <c r="AB120" s="9"/>
      <c r="AC120" s="9">
        <f t="shared" si="3"/>
        <v>0</v>
      </c>
    </row>
    <row r="121" spans="1:29" s="8" customFormat="1" ht="12" hidden="1">
      <c r="A121" s="8" t="s">
        <v>195</v>
      </c>
      <c r="C121" s="8" t="s">
        <v>54</v>
      </c>
      <c r="E121" s="9">
        <v>0</v>
      </c>
      <c r="F121" s="9"/>
      <c r="G121" s="9">
        <v>0</v>
      </c>
      <c r="H121" s="9"/>
      <c r="I121" s="9">
        <v>0</v>
      </c>
      <c r="J121" s="9"/>
      <c r="K121" s="9">
        <v>0</v>
      </c>
      <c r="L121" s="9"/>
      <c r="M121" s="9">
        <v>0</v>
      </c>
      <c r="N121" s="9"/>
      <c r="O121" s="9">
        <v>0</v>
      </c>
      <c r="P121" s="9"/>
      <c r="Q121" s="9">
        <v>0</v>
      </c>
      <c r="R121" s="9"/>
      <c r="S121" s="9">
        <v>0</v>
      </c>
      <c r="T121" s="9"/>
      <c r="U121" s="9">
        <v>0</v>
      </c>
      <c r="V121" s="9"/>
      <c r="W121" s="9">
        <v>0</v>
      </c>
      <c r="X121" s="9"/>
      <c r="Y121" s="9">
        <v>0</v>
      </c>
      <c r="Z121" s="9"/>
      <c r="AA121" s="9">
        <v>0</v>
      </c>
      <c r="AB121" s="9"/>
      <c r="AC121" s="9">
        <f t="shared" si="3"/>
        <v>0</v>
      </c>
    </row>
    <row r="122" spans="1:29" s="8" customFormat="1" ht="12" hidden="1">
      <c r="A122" s="8" t="s">
        <v>196</v>
      </c>
      <c r="C122" s="8" t="s">
        <v>54</v>
      </c>
      <c r="E122" s="9">
        <v>0</v>
      </c>
      <c r="F122" s="9"/>
      <c r="G122" s="9">
        <v>0</v>
      </c>
      <c r="H122" s="9"/>
      <c r="I122" s="9">
        <v>0</v>
      </c>
      <c r="J122" s="9"/>
      <c r="K122" s="9">
        <v>0</v>
      </c>
      <c r="L122" s="9"/>
      <c r="M122" s="9">
        <v>0</v>
      </c>
      <c r="N122" s="9"/>
      <c r="O122" s="9">
        <v>0</v>
      </c>
      <c r="P122" s="9"/>
      <c r="Q122" s="9">
        <v>0</v>
      </c>
      <c r="R122" s="9"/>
      <c r="S122" s="9">
        <v>0</v>
      </c>
      <c r="T122" s="9"/>
      <c r="U122" s="9">
        <v>0</v>
      </c>
      <c r="V122" s="9"/>
      <c r="W122" s="9">
        <v>0</v>
      </c>
      <c r="X122" s="9"/>
      <c r="Y122" s="9">
        <v>0</v>
      </c>
      <c r="Z122" s="9"/>
      <c r="AA122" s="9">
        <v>0</v>
      </c>
      <c r="AB122" s="9"/>
      <c r="AC122" s="9">
        <f t="shared" si="3"/>
        <v>0</v>
      </c>
    </row>
    <row r="123" spans="1:29" s="8" customFormat="1" ht="12" hidden="1">
      <c r="A123" s="8" t="s">
        <v>197</v>
      </c>
      <c r="C123" s="8" t="s">
        <v>63</v>
      </c>
      <c r="E123" s="9">
        <v>0</v>
      </c>
      <c r="F123" s="9"/>
      <c r="G123" s="9">
        <v>0</v>
      </c>
      <c r="H123" s="9"/>
      <c r="I123" s="9">
        <v>0</v>
      </c>
      <c r="J123" s="9"/>
      <c r="K123" s="9">
        <v>0</v>
      </c>
      <c r="L123" s="9"/>
      <c r="M123" s="9">
        <v>0</v>
      </c>
      <c r="N123" s="9"/>
      <c r="O123" s="9">
        <v>0</v>
      </c>
      <c r="P123" s="9"/>
      <c r="Q123" s="9">
        <v>0</v>
      </c>
      <c r="R123" s="9"/>
      <c r="S123" s="9">
        <v>0</v>
      </c>
      <c r="T123" s="9"/>
      <c r="U123" s="9">
        <v>0</v>
      </c>
      <c r="V123" s="9"/>
      <c r="W123" s="9">
        <v>0</v>
      </c>
      <c r="X123" s="9"/>
      <c r="Y123" s="9">
        <v>0</v>
      </c>
      <c r="Z123" s="9"/>
      <c r="AA123" s="9">
        <v>0</v>
      </c>
      <c r="AB123" s="9"/>
      <c r="AC123" s="9">
        <f t="shared" si="3"/>
        <v>0</v>
      </c>
    </row>
    <row r="124" spans="1:43" s="8" customFormat="1" ht="12">
      <c r="A124" s="8" t="s">
        <v>135</v>
      </c>
      <c r="C124" s="8" t="s">
        <v>136</v>
      </c>
      <c r="E124" s="9">
        <v>743177</v>
      </c>
      <c r="F124" s="9"/>
      <c r="G124" s="9">
        <v>220446</v>
      </c>
      <c r="H124" s="9"/>
      <c r="I124" s="9">
        <v>281750</v>
      </c>
      <c r="J124" s="9"/>
      <c r="K124" s="9">
        <v>169166</v>
      </c>
      <c r="L124" s="9"/>
      <c r="M124" s="9">
        <v>38773</v>
      </c>
      <c r="N124" s="9"/>
      <c r="O124" s="9">
        <v>8914</v>
      </c>
      <c r="P124" s="9"/>
      <c r="Q124" s="9">
        <v>16080</v>
      </c>
      <c r="R124" s="9"/>
      <c r="S124" s="9">
        <v>0</v>
      </c>
      <c r="T124" s="9"/>
      <c r="U124" s="9">
        <v>0</v>
      </c>
      <c r="V124" s="9"/>
      <c r="W124" s="9">
        <v>0</v>
      </c>
      <c r="X124" s="9"/>
      <c r="Y124" s="9">
        <v>0</v>
      </c>
      <c r="Z124" s="9"/>
      <c r="AA124" s="9">
        <v>0</v>
      </c>
      <c r="AB124" s="9"/>
      <c r="AC124" s="9">
        <f t="shared" si="3"/>
        <v>1478306</v>
      </c>
      <c r="AQ124" s="8">
        <v>499.05</v>
      </c>
    </row>
    <row r="125" spans="1:43" s="8" customFormat="1" ht="12">
      <c r="A125" s="8" t="s">
        <v>137</v>
      </c>
      <c r="C125" s="8" t="s">
        <v>73</v>
      </c>
      <c r="E125" s="9">
        <v>1525489</v>
      </c>
      <c r="F125" s="9"/>
      <c r="G125" s="9">
        <v>0</v>
      </c>
      <c r="H125" s="9"/>
      <c r="I125" s="9">
        <v>288063</v>
      </c>
      <c r="J125" s="9"/>
      <c r="K125" s="9">
        <v>379815</v>
      </c>
      <c r="L125" s="9"/>
      <c r="M125" s="9">
        <v>95916</v>
      </c>
      <c r="N125" s="9"/>
      <c r="O125" s="9">
        <v>16405</v>
      </c>
      <c r="P125" s="9"/>
      <c r="Q125" s="9">
        <v>25512</v>
      </c>
      <c r="R125" s="9"/>
      <c r="S125" s="9">
        <v>0</v>
      </c>
      <c r="T125" s="9"/>
      <c r="U125" s="9">
        <v>0</v>
      </c>
      <c r="V125" s="9"/>
      <c r="W125" s="9">
        <v>0</v>
      </c>
      <c r="X125" s="9"/>
      <c r="Y125" s="9">
        <v>0</v>
      </c>
      <c r="Z125" s="9"/>
      <c r="AA125" s="9">
        <v>0</v>
      </c>
      <c r="AB125" s="9"/>
      <c r="AC125" s="9">
        <f t="shared" si="3"/>
        <v>2331200</v>
      </c>
      <c r="AQ125" s="8">
        <v>1148</v>
      </c>
    </row>
    <row r="126" spans="1:63" s="8" customFormat="1" ht="12">
      <c r="A126" s="38" t="s">
        <v>138</v>
      </c>
      <c r="B126" s="38"/>
      <c r="C126" s="38" t="s">
        <v>544</v>
      </c>
      <c r="D126" s="38"/>
      <c r="E126" s="38">
        <v>252287.52</v>
      </c>
      <c r="F126" s="38"/>
      <c r="G126" s="38">
        <v>38561.49</v>
      </c>
      <c r="H126" s="38"/>
      <c r="I126" s="38">
        <v>52155.02</v>
      </c>
      <c r="J126" s="38"/>
      <c r="K126" s="38">
        <v>120086.85</v>
      </c>
      <c r="L126" s="38"/>
      <c r="M126" s="38">
        <v>20684.24</v>
      </c>
      <c r="N126" s="38"/>
      <c r="O126" s="38">
        <v>7082</v>
      </c>
      <c r="P126" s="38"/>
      <c r="Q126" s="38">
        <v>10980.36</v>
      </c>
      <c r="R126" s="38"/>
      <c r="S126" s="38">
        <v>0</v>
      </c>
      <c r="T126" s="38"/>
      <c r="U126" s="38">
        <v>0</v>
      </c>
      <c r="V126" s="38"/>
      <c r="W126" s="38">
        <v>14754.02</v>
      </c>
      <c r="X126" s="38"/>
      <c r="Y126" s="38">
        <v>0</v>
      </c>
      <c r="Z126" s="38"/>
      <c r="AA126" s="38">
        <v>0</v>
      </c>
      <c r="AB126" s="38"/>
      <c r="AC126" s="3">
        <f t="shared" si="3"/>
        <v>516591.5</v>
      </c>
      <c r="AD126" s="39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3"/>
    </row>
    <row r="127" spans="1:63" s="8" customFormat="1" ht="12">
      <c r="A127" s="38" t="s">
        <v>139</v>
      </c>
      <c r="B127" s="38"/>
      <c r="C127" s="38" t="s">
        <v>562</v>
      </c>
      <c r="D127" s="38"/>
      <c r="E127" s="38">
        <v>243717.77</v>
      </c>
      <c r="F127" s="38"/>
      <c r="G127" s="38">
        <v>53601.79</v>
      </c>
      <c r="H127" s="38"/>
      <c r="I127" s="38">
        <v>59053.2</v>
      </c>
      <c r="J127" s="38"/>
      <c r="K127" s="38">
        <v>78348.91</v>
      </c>
      <c r="L127" s="38"/>
      <c r="M127" s="38">
        <v>10550.63</v>
      </c>
      <c r="N127" s="38"/>
      <c r="O127" s="38">
        <v>4966.4</v>
      </c>
      <c r="P127" s="38"/>
      <c r="Q127" s="38">
        <v>42503.46</v>
      </c>
      <c r="R127" s="38"/>
      <c r="S127" s="38">
        <v>0</v>
      </c>
      <c r="T127" s="38"/>
      <c r="U127" s="38">
        <v>0</v>
      </c>
      <c r="V127" s="38"/>
      <c r="W127" s="38">
        <v>0</v>
      </c>
      <c r="X127" s="38"/>
      <c r="Y127" s="38">
        <v>0</v>
      </c>
      <c r="Z127" s="38"/>
      <c r="AA127" s="38">
        <v>0</v>
      </c>
      <c r="AB127" s="38"/>
      <c r="AC127" s="3">
        <f t="shared" si="3"/>
        <v>492742.1600000001</v>
      </c>
      <c r="AD127" s="39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3"/>
    </row>
    <row r="128" spans="1:43" s="8" customFormat="1" ht="12">
      <c r="A128" s="8" t="s">
        <v>140</v>
      </c>
      <c r="C128" s="8" t="s">
        <v>66</v>
      </c>
      <c r="E128" s="9">
        <v>198092</v>
      </c>
      <c r="F128" s="9"/>
      <c r="G128" s="9">
        <v>68848</v>
      </c>
      <c r="H128" s="9"/>
      <c r="I128" s="9">
        <v>41645</v>
      </c>
      <c r="J128" s="9"/>
      <c r="K128" s="9">
        <v>47490</v>
      </c>
      <c r="L128" s="9"/>
      <c r="M128" s="9">
        <v>10766</v>
      </c>
      <c r="N128" s="9"/>
      <c r="O128" s="9">
        <v>9898</v>
      </c>
      <c r="P128" s="9"/>
      <c r="Q128" s="9">
        <v>18878</v>
      </c>
      <c r="R128" s="9"/>
      <c r="S128" s="9">
        <v>0</v>
      </c>
      <c r="T128" s="9"/>
      <c r="U128" s="9">
        <v>0</v>
      </c>
      <c r="V128" s="9"/>
      <c r="W128" s="9">
        <v>0</v>
      </c>
      <c r="X128" s="9"/>
      <c r="Y128" s="9">
        <v>0</v>
      </c>
      <c r="Z128" s="9"/>
      <c r="AA128" s="9">
        <v>0</v>
      </c>
      <c r="AB128" s="9"/>
      <c r="AC128" s="9">
        <f t="shared" si="3"/>
        <v>395617</v>
      </c>
      <c r="AQ128" s="8">
        <v>1073.2</v>
      </c>
    </row>
    <row r="129" spans="1:43" s="8" customFormat="1" ht="12">
      <c r="A129" s="8" t="s">
        <v>141</v>
      </c>
      <c r="C129" s="8" t="s">
        <v>27</v>
      </c>
      <c r="E129" s="9">
        <v>383840</v>
      </c>
      <c r="F129" s="9"/>
      <c r="G129" s="9">
        <v>80533</v>
      </c>
      <c r="H129" s="9"/>
      <c r="I129" s="9">
        <v>68923</v>
      </c>
      <c r="J129" s="9"/>
      <c r="K129" s="9">
        <v>151852</v>
      </c>
      <c r="L129" s="9"/>
      <c r="M129" s="9">
        <v>15397</v>
      </c>
      <c r="N129" s="9"/>
      <c r="O129" s="9">
        <v>7934</v>
      </c>
      <c r="P129" s="9"/>
      <c r="Q129" s="9">
        <v>13530</v>
      </c>
      <c r="R129" s="9"/>
      <c r="S129" s="9">
        <v>0</v>
      </c>
      <c r="T129" s="9"/>
      <c r="U129" s="9">
        <v>0</v>
      </c>
      <c r="V129" s="9"/>
      <c r="W129" s="9">
        <v>50000</v>
      </c>
      <c r="X129" s="9"/>
      <c r="Y129" s="9">
        <v>0</v>
      </c>
      <c r="Z129" s="9"/>
      <c r="AA129" s="9">
        <v>0</v>
      </c>
      <c r="AB129" s="9"/>
      <c r="AC129" s="9">
        <f t="shared" si="3"/>
        <v>772009</v>
      </c>
      <c r="AQ129" s="8">
        <v>811.54</v>
      </c>
    </row>
    <row r="130" spans="1:29" s="8" customFormat="1" ht="12" hidden="1">
      <c r="A130" s="8" t="s">
        <v>204</v>
      </c>
      <c r="C130" s="8" t="s">
        <v>26</v>
      </c>
      <c r="E130" s="9">
        <v>0</v>
      </c>
      <c r="F130" s="9"/>
      <c r="G130" s="9">
        <v>0</v>
      </c>
      <c r="H130" s="9"/>
      <c r="I130" s="9">
        <v>0</v>
      </c>
      <c r="J130" s="9"/>
      <c r="K130" s="9">
        <v>0</v>
      </c>
      <c r="L130" s="9"/>
      <c r="M130" s="9">
        <v>0</v>
      </c>
      <c r="N130" s="9"/>
      <c r="O130" s="9">
        <v>0</v>
      </c>
      <c r="P130" s="9"/>
      <c r="Q130" s="9">
        <v>0</v>
      </c>
      <c r="R130" s="9"/>
      <c r="S130" s="9">
        <v>0</v>
      </c>
      <c r="T130" s="9"/>
      <c r="U130" s="9">
        <v>0</v>
      </c>
      <c r="V130" s="9"/>
      <c r="W130" s="9">
        <v>0</v>
      </c>
      <c r="X130" s="9"/>
      <c r="Y130" s="9">
        <v>0</v>
      </c>
      <c r="Z130" s="9"/>
      <c r="AA130" s="9">
        <v>0</v>
      </c>
      <c r="AB130" s="9"/>
      <c r="AC130" s="9">
        <f t="shared" si="3"/>
        <v>0</v>
      </c>
    </row>
    <row r="131" spans="1:63" s="8" customFormat="1" ht="12">
      <c r="A131" s="38" t="s">
        <v>385</v>
      </c>
      <c r="B131" s="38"/>
      <c r="C131" s="38" t="s">
        <v>604</v>
      </c>
      <c r="D131" s="38"/>
      <c r="E131" s="38">
        <v>675620.16</v>
      </c>
      <c r="F131" s="38"/>
      <c r="G131" s="38">
        <v>216257.02</v>
      </c>
      <c r="H131" s="38"/>
      <c r="I131" s="38">
        <v>155459.04</v>
      </c>
      <c r="J131" s="38"/>
      <c r="K131" s="38">
        <v>207511.3</v>
      </c>
      <c r="L131" s="38"/>
      <c r="M131" s="38">
        <v>57749.41</v>
      </c>
      <c r="N131" s="38"/>
      <c r="O131" s="38">
        <v>9248.19</v>
      </c>
      <c r="P131" s="38"/>
      <c r="Q131" s="38">
        <v>18452.65</v>
      </c>
      <c r="R131" s="38"/>
      <c r="S131" s="38">
        <v>0</v>
      </c>
      <c r="T131" s="38"/>
      <c r="U131" s="38">
        <v>0</v>
      </c>
      <c r="V131" s="38"/>
      <c r="W131" s="38">
        <v>0</v>
      </c>
      <c r="X131" s="38"/>
      <c r="Y131" s="38">
        <v>0</v>
      </c>
      <c r="Z131" s="38"/>
      <c r="AA131" s="38">
        <v>0</v>
      </c>
      <c r="AB131" s="38"/>
      <c r="AC131" s="3">
        <f t="shared" si="3"/>
        <v>1340297.7699999998</v>
      </c>
      <c r="AD131" s="39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3"/>
    </row>
    <row r="132" spans="1:43" s="8" customFormat="1" ht="12">
      <c r="A132" s="8" t="s">
        <v>144</v>
      </c>
      <c r="C132" s="8" t="s">
        <v>93</v>
      </c>
      <c r="E132" s="9">
        <v>25148</v>
      </c>
      <c r="F132" s="9"/>
      <c r="G132" s="9">
        <v>3785</v>
      </c>
      <c r="H132" s="9"/>
      <c r="I132" s="9">
        <v>0</v>
      </c>
      <c r="J132" s="9"/>
      <c r="K132" s="9">
        <v>11872</v>
      </c>
      <c r="L132" s="9"/>
      <c r="M132" s="9">
        <v>2682</v>
      </c>
      <c r="N132" s="9"/>
      <c r="O132" s="9">
        <v>11619</v>
      </c>
      <c r="P132" s="9"/>
      <c r="Q132" s="9">
        <v>0</v>
      </c>
      <c r="R132" s="9"/>
      <c r="S132" s="9">
        <v>0</v>
      </c>
      <c r="T132" s="9"/>
      <c r="U132" s="9">
        <v>0</v>
      </c>
      <c r="V132" s="9"/>
      <c r="W132" s="9">
        <v>0</v>
      </c>
      <c r="X132" s="9"/>
      <c r="Y132" s="9">
        <v>0</v>
      </c>
      <c r="Z132" s="9"/>
      <c r="AA132" s="9">
        <v>0</v>
      </c>
      <c r="AB132" s="9"/>
      <c r="AC132" s="9">
        <f t="shared" si="3"/>
        <v>55106</v>
      </c>
      <c r="AQ132" s="8">
        <v>2070.62</v>
      </c>
    </row>
    <row r="133" spans="1:29" s="8" customFormat="1" ht="12" hidden="1">
      <c r="A133" s="8" t="s">
        <v>208</v>
      </c>
      <c r="C133" s="8" t="s">
        <v>109</v>
      </c>
      <c r="E133" s="9">
        <v>0</v>
      </c>
      <c r="F133" s="9"/>
      <c r="G133" s="9">
        <v>0</v>
      </c>
      <c r="H133" s="9"/>
      <c r="I133" s="9">
        <v>0</v>
      </c>
      <c r="J133" s="9"/>
      <c r="K133" s="9">
        <v>0</v>
      </c>
      <c r="L133" s="9"/>
      <c r="M133" s="9">
        <v>0</v>
      </c>
      <c r="N133" s="9"/>
      <c r="O133" s="9">
        <v>0</v>
      </c>
      <c r="P133" s="9"/>
      <c r="Q133" s="9">
        <v>0</v>
      </c>
      <c r="R133" s="9"/>
      <c r="S133" s="9">
        <v>0</v>
      </c>
      <c r="T133" s="9"/>
      <c r="U133" s="9">
        <v>0</v>
      </c>
      <c r="V133" s="9"/>
      <c r="W133" s="9">
        <v>0</v>
      </c>
      <c r="X133" s="9"/>
      <c r="Y133" s="9">
        <v>0</v>
      </c>
      <c r="Z133" s="9"/>
      <c r="AA133" s="9">
        <v>0</v>
      </c>
      <c r="AB133" s="20"/>
      <c r="AC133" s="9">
        <f t="shared" si="3"/>
        <v>0</v>
      </c>
    </row>
    <row r="134" spans="1:63" s="8" customFormat="1" ht="12">
      <c r="A134" s="38" t="s">
        <v>520</v>
      </c>
      <c r="B134" s="38"/>
      <c r="C134" s="38" t="s">
        <v>557</v>
      </c>
      <c r="D134" s="38"/>
      <c r="E134" s="38">
        <v>1362331.43</v>
      </c>
      <c r="F134" s="38"/>
      <c r="G134" s="38">
        <v>556231.82</v>
      </c>
      <c r="H134" s="38"/>
      <c r="I134" s="38">
        <v>743485.75</v>
      </c>
      <c r="J134" s="38"/>
      <c r="K134" s="38">
        <v>257549.05</v>
      </c>
      <c r="L134" s="38"/>
      <c r="M134" s="38">
        <v>82836.38</v>
      </c>
      <c r="N134" s="38"/>
      <c r="O134" s="38">
        <v>62804.54</v>
      </c>
      <c r="P134" s="38"/>
      <c r="Q134" s="38">
        <v>9682.45</v>
      </c>
      <c r="R134" s="38"/>
      <c r="S134" s="38">
        <v>0</v>
      </c>
      <c r="T134" s="38"/>
      <c r="U134" s="38">
        <v>0</v>
      </c>
      <c r="V134" s="38"/>
      <c r="W134" s="38">
        <v>0</v>
      </c>
      <c r="X134" s="38"/>
      <c r="Y134" s="38">
        <v>0</v>
      </c>
      <c r="Z134" s="38"/>
      <c r="AA134" s="38">
        <v>0</v>
      </c>
      <c r="AB134" s="38"/>
      <c r="AC134" s="3">
        <f t="shared" si="3"/>
        <v>3074921.42</v>
      </c>
      <c r="AD134" s="39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3"/>
    </row>
    <row r="135" spans="1:63" s="8" customFormat="1" ht="12">
      <c r="A135" s="38" t="s">
        <v>521</v>
      </c>
      <c r="B135" s="38"/>
      <c r="C135" s="38" t="s">
        <v>555</v>
      </c>
      <c r="D135" s="38"/>
      <c r="E135" s="38">
        <v>254957.64</v>
      </c>
      <c r="F135" s="38"/>
      <c r="G135" s="38">
        <v>81606.73</v>
      </c>
      <c r="H135" s="38"/>
      <c r="I135" s="38">
        <v>48986.63</v>
      </c>
      <c r="J135" s="38"/>
      <c r="K135" s="38">
        <v>86029.72</v>
      </c>
      <c r="L135" s="38"/>
      <c r="M135" s="38">
        <v>20082.58</v>
      </c>
      <c r="N135" s="38"/>
      <c r="O135" s="38">
        <v>407.94</v>
      </c>
      <c r="P135" s="38"/>
      <c r="Q135" s="38">
        <v>11620.33</v>
      </c>
      <c r="R135" s="38"/>
      <c r="S135" s="38">
        <v>0</v>
      </c>
      <c r="T135" s="38"/>
      <c r="U135" s="38">
        <v>0</v>
      </c>
      <c r="V135" s="38"/>
      <c r="W135" s="38">
        <v>10000</v>
      </c>
      <c r="X135" s="38"/>
      <c r="Y135" s="38">
        <v>0</v>
      </c>
      <c r="Z135" s="38"/>
      <c r="AA135" s="38">
        <v>0</v>
      </c>
      <c r="AB135" s="38"/>
      <c r="AC135" s="3">
        <f t="shared" si="3"/>
        <v>513691.57</v>
      </c>
      <c r="AD135" s="39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3"/>
    </row>
    <row r="136" spans="1:29" s="8" customFormat="1" ht="12" hidden="1">
      <c r="A136" s="8" t="s">
        <v>211</v>
      </c>
      <c r="C136" s="8" t="s">
        <v>207</v>
      </c>
      <c r="E136" s="9">
        <v>0</v>
      </c>
      <c r="F136" s="9"/>
      <c r="G136" s="9">
        <v>0</v>
      </c>
      <c r="H136" s="9"/>
      <c r="I136" s="9">
        <v>0</v>
      </c>
      <c r="J136" s="9"/>
      <c r="K136" s="9">
        <v>0</v>
      </c>
      <c r="L136" s="9"/>
      <c r="M136" s="9">
        <v>0</v>
      </c>
      <c r="N136" s="9"/>
      <c r="O136" s="9">
        <v>0</v>
      </c>
      <c r="P136" s="9"/>
      <c r="Q136" s="9">
        <v>0</v>
      </c>
      <c r="R136" s="9"/>
      <c r="S136" s="9">
        <v>0</v>
      </c>
      <c r="T136" s="9"/>
      <c r="U136" s="9">
        <v>0</v>
      </c>
      <c r="V136" s="9"/>
      <c r="W136" s="9">
        <v>0</v>
      </c>
      <c r="X136" s="9"/>
      <c r="Y136" s="9">
        <v>0</v>
      </c>
      <c r="Z136" s="9"/>
      <c r="AA136" s="9">
        <v>0</v>
      </c>
      <c r="AB136" s="9"/>
      <c r="AC136" s="9">
        <f aca="true" t="shared" si="4" ref="AC136:AC148">SUM(E136:AA136)</f>
        <v>0</v>
      </c>
    </row>
    <row r="137" spans="1:29" s="8" customFormat="1" ht="12" hidden="1">
      <c r="A137" s="8" t="s">
        <v>212</v>
      </c>
      <c r="C137" s="8" t="s">
        <v>57</v>
      </c>
      <c r="E137" s="9">
        <v>0</v>
      </c>
      <c r="F137" s="9"/>
      <c r="G137" s="9">
        <v>0</v>
      </c>
      <c r="H137" s="9"/>
      <c r="I137" s="9">
        <v>0</v>
      </c>
      <c r="J137" s="9"/>
      <c r="K137" s="9">
        <v>0</v>
      </c>
      <c r="L137" s="9"/>
      <c r="M137" s="9">
        <v>0</v>
      </c>
      <c r="N137" s="9"/>
      <c r="O137" s="9">
        <v>0</v>
      </c>
      <c r="P137" s="9"/>
      <c r="Q137" s="9">
        <v>0</v>
      </c>
      <c r="R137" s="9"/>
      <c r="S137" s="9">
        <v>0</v>
      </c>
      <c r="T137" s="9"/>
      <c r="U137" s="9">
        <v>0</v>
      </c>
      <c r="V137" s="9"/>
      <c r="W137" s="9">
        <v>0</v>
      </c>
      <c r="X137" s="9"/>
      <c r="Y137" s="9">
        <v>0</v>
      </c>
      <c r="Z137" s="9"/>
      <c r="AA137" s="9">
        <v>0</v>
      </c>
      <c r="AB137" s="9"/>
      <c r="AC137" s="9">
        <f t="shared" si="4"/>
        <v>0</v>
      </c>
    </row>
    <row r="138" spans="1:29" s="8" customFormat="1" ht="12" hidden="1">
      <c r="A138" s="8" t="s">
        <v>213</v>
      </c>
      <c r="C138" s="8" t="s">
        <v>64</v>
      </c>
      <c r="E138" s="9">
        <v>0</v>
      </c>
      <c r="F138" s="9"/>
      <c r="G138" s="9">
        <v>0</v>
      </c>
      <c r="H138" s="9"/>
      <c r="I138" s="9">
        <v>0</v>
      </c>
      <c r="J138" s="9"/>
      <c r="K138" s="9">
        <v>0</v>
      </c>
      <c r="L138" s="9"/>
      <c r="M138" s="9">
        <v>0</v>
      </c>
      <c r="N138" s="9"/>
      <c r="O138" s="9">
        <v>0</v>
      </c>
      <c r="P138" s="9"/>
      <c r="Q138" s="9">
        <v>0</v>
      </c>
      <c r="R138" s="9"/>
      <c r="S138" s="9">
        <v>0</v>
      </c>
      <c r="T138" s="9"/>
      <c r="U138" s="9">
        <v>0</v>
      </c>
      <c r="V138" s="9"/>
      <c r="W138" s="9">
        <v>0</v>
      </c>
      <c r="X138" s="9"/>
      <c r="Y138" s="9">
        <v>0</v>
      </c>
      <c r="Z138" s="9"/>
      <c r="AA138" s="9">
        <v>0</v>
      </c>
      <c r="AB138" s="9"/>
      <c r="AC138" s="9">
        <f t="shared" si="4"/>
        <v>0</v>
      </c>
    </row>
    <row r="139" spans="1:43" s="8" customFormat="1" ht="12">
      <c r="A139" s="8" t="s">
        <v>485</v>
      </c>
      <c r="C139" s="8" t="s">
        <v>21</v>
      </c>
      <c r="E139" s="9">
        <v>604794</v>
      </c>
      <c r="F139" s="9"/>
      <c r="G139" s="9">
        <v>0</v>
      </c>
      <c r="H139" s="9"/>
      <c r="I139" s="9">
        <f>2299822-19000-604794</f>
        <v>1676028</v>
      </c>
      <c r="J139" s="9"/>
      <c r="K139" s="9">
        <v>0</v>
      </c>
      <c r="L139" s="9"/>
      <c r="M139" s="9">
        <v>0</v>
      </c>
      <c r="N139" s="9"/>
      <c r="O139" s="9">
        <v>0</v>
      </c>
      <c r="P139" s="9"/>
      <c r="Q139" s="9">
        <v>19000</v>
      </c>
      <c r="R139" s="9"/>
      <c r="S139" s="9">
        <v>0</v>
      </c>
      <c r="T139" s="9"/>
      <c r="U139" s="9">
        <v>0</v>
      </c>
      <c r="V139" s="9"/>
      <c r="W139" s="9">
        <v>0</v>
      </c>
      <c r="X139" s="9"/>
      <c r="Y139" s="9">
        <v>0</v>
      </c>
      <c r="Z139" s="9"/>
      <c r="AA139" s="9">
        <v>0</v>
      </c>
      <c r="AB139" s="9"/>
      <c r="AC139" s="9">
        <f t="shared" si="4"/>
        <v>2299822</v>
      </c>
      <c r="AN139" s="8">
        <f>+AN138+6837.16</f>
        <v>6837.16</v>
      </c>
      <c r="AQ139" s="8">
        <v>23.2</v>
      </c>
    </row>
    <row r="140" spans="1:29" s="8" customFormat="1" ht="12" hidden="1">
      <c r="A140" s="8" t="s">
        <v>216</v>
      </c>
      <c r="C140" s="8" t="s">
        <v>57</v>
      </c>
      <c r="E140" s="9">
        <v>0</v>
      </c>
      <c r="F140" s="9"/>
      <c r="G140" s="9">
        <v>0</v>
      </c>
      <c r="H140" s="9"/>
      <c r="I140" s="9">
        <v>0</v>
      </c>
      <c r="J140" s="9"/>
      <c r="K140" s="9">
        <v>0</v>
      </c>
      <c r="L140" s="9"/>
      <c r="M140" s="9">
        <v>0</v>
      </c>
      <c r="N140" s="9"/>
      <c r="O140" s="9">
        <v>0</v>
      </c>
      <c r="P140" s="9"/>
      <c r="Q140" s="9">
        <v>0</v>
      </c>
      <c r="R140" s="9"/>
      <c r="S140" s="9">
        <v>0</v>
      </c>
      <c r="T140" s="9"/>
      <c r="U140" s="9">
        <v>0</v>
      </c>
      <c r="V140" s="9"/>
      <c r="W140" s="9">
        <v>0</v>
      </c>
      <c r="X140" s="9"/>
      <c r="Y140" s="9">
        <v>0</v>
      </c>
      <c r="Z140" s="9"/>
      <c r="AA140" s="9">
        <v>0</v>
      </c>
      <c r="AB140" s="9"/>
      <c r="AC140" s="9">
        <f t="shared" si="4"/>
        <v>0</v>
      </c>
    </row>
    <row r="141" spans="1:29" s="8" customFormat="1" ht="12" hidden="1">
      <c r="A141" s="8" t="s">
        <v>217</v>
      </c>
      <c r="C141" s="8" t="s">
        <v>26</v>
      </c>
      <c r="E141" s="9">
        <v>0</v>
      </c>
      <c r="F141" s="9"/>
      <c r="G141" s="9">
        <v>0</v>
      </c>
      <c r="H141" s="9"/>
      <c r="I141" s="9">
        <v>0</v>
      </c>
      <c r="J141" s="9"/>
      <c r="K141" s="9">
        <v>0</v>
      </c>
      <c r="L141" s="9"/>
      <c r="M141" s="9">
        <v>0</v>
      </c>
      <c r="N141" s="9"/>
      <c r="O141" s="9">
        <v>0</v>
      </c>
      <c r="P141" s="9"/>
      <c r="Q141" s="9">
        <v>0</v>
      </c>
      <c r="R141" s="9"/>
      <c r="S141" s="9">
        <v>0</v>
      </c>
      <c r="T141" s="9"/>
      <c r="U141" s="9">
        <v>0</v>
      </c>
      <c r="V141" s="9"/>
      <c r="W141" s="9">
        <v>0</v>
      </c>
      <c r="X141" s="9"/>
      <c r="Y141" s="9">
        <v>0</v>
      </c>
      <c r="Z141" s="9"/>
      <c r="AA141" s="9">
        <v>0</v>
      </c>
      <c r="AB141" s="9"/>
      <c r="AC141" s="9">
        <f t="shared" si="4"/>
        <v>0</v>
      </c>
    </row>
    <row r="142" spans="1:43" s="9" customFormat="1" ht="12">
      <c r="A142" s="9" t="s">
        <v>146</v>
      </c>
      <c r="C142" s="9" t="s">
        <v>60</v>
      </c>
      <c r="E142" s="9">
        <v>1768602</v>
      </c>
      <c r="G142" s="9">
        <v>503211</v>
      </c>
      <c r="I142" s="9">
        <v>552005</v>
      </c>
      <c r="K142" s="9">
        <v>490415</v>
      </c>
      <c r="M142" s="9">
        <v>78758</v>
      </c>
      <c r="O142" s="9">
        <v>25116</v>
      </c>
      <c r="Q142" s="9">
        <v>65346</v>
      </c>
      <c r="S142" s="9">
        <v>0</v>
      </c>
      <c r="U142" s="9">
        <v>0</v>
      </c>
      <c r="W142" s="9">
        <v>0</v>
      </c>
      <c r="Y142" s="9">
        <v>0</v>
      </c>
      <c r="AA142" s="9">
        <v>0</v>
      </c>
      <c r="AC142" s="9">
        <f t="shared" si="4"/>
        <v>3483453</v>
      </c>
      <c r="AQ142" s="9">
        <v>2845</v>
      </c>
    </row>
    <row r="143" spans="1:43" s="8" customFormat="1" ht="12">
      <c r="A143" s="8" t="s">
        <v>19</v>
      </c>
      <c r="C143" s="8" t="s">
        <v>20</v>
      </c>
      <c r="E143" s="9">
        <f>4885394/5</f>
        <v>977078.8</v>
      </c>
      <c r="F143" s="9"/>
      <c r="G143" s="9">
        <v>0</v>
      </c>
      <c r="H143" s="9"/>
      <c r="I143" s="9">
        <v>977078</v>
      </c>
      <c r="J143" s="9"/>
      <c r="K143" s="9">
        <v>977079</v>
      </c>
      <c r="L143" s="9"/>
      <c r="M143" s="9">
        <v>977079</v>
      </c>
      <c r="N143" s="9"/>
      <c r="O143" s="9">
        <v>977079</v>
      </c>
      <c r="P143" s="9"/>
      <c r="Q143" s="9">
        <v>102312</v>
      </c>
      <c r="R143" s="9"/>
      <c r="S143" s="9">
        <v>0</v>
      </c>
      <c r="T143" s="9"/>
      <c r="U143" s="9">
        <v>0</v>
      </c>
      <c r="V143" s="9"/>
      <c r="W143" s="9">
        <v>0</v>
      </c>
      <c r="X143" s="9"/>
      <c r="Y143" s="9">
        <v>0</v>
      </c>
      <c r="Z143" s="9"/>
      <c r="AA143" s="9">
        <v>0</v>
      </c>
      <c r="AB143" s="9"/>
      <c r="AC143" s="9">
        <f t="shared" si="4"/>
        <v>4987705.8</v>
      </c>
      <c r="AQ143" s="8">
        <v>104.61</v>
      </c>
    </row>
    <row r="144" spans="1:29" s="8" customFormat="1" ht="12" hidden="1">
      <c r="A144" s="8" t="s">
        <v>218</v>
      </c>
      <c r="C144" s="8" t="s">
        <v>150</v>
      </c>
      <c r="E144" s="9">
        <v>0</v>
      </c>
      <c r="F144" s="9"/>
      <c r="G144" s="9">
        <v>0</v>
      </c>
      <c r="H144" s="9"/>
      <c r="I144" s="9">
        <v>0</v>
      </c>
      <c r="J144" s="9"/>
      <c r="K144" s="9">
        <v>0</v>
      </c>
      <c r="L144" s="9"/>
      <c r="M144" s="9">
        <v>0</v>
      </c>
      <c r="N144" s="9"/>
      <c r="O144" s="9">
        <v>0</v>
      </c>
      <c r="P144" s="9"/>
      <c r="Q144" s="9">
        <v>0</v>
      </c>
      <c r="R144" s="9"/>
      <c r="S144" s="9">
        <v>0</v>
      </c>
      <c r="T144" s="9"/>
      <c r="U144" s="9">
        <v>0</v>
      </c>
      <c r="V144" s="9"/>
      <c r="W144" s="9">
        <v>0</v>
      </c>
      <c r="X144" s="9"/>
      <c r="Y144" s="9">
        <v>0</v>
      </c>
      <c r="Z144" s="9"/>
      <c r="AA144" s="9">
        <v>0</v>
      </c>
      <c r="AB144" s="9"/>
      <c r="AC144" s="9">
        <f t="shared" si="4"/>
        <v>0</v>
      </c>
    </row>
    <row r="145" spans="1:29" s="8" customFormat="1" ht="12" hidden="1">
      <c r="A145" s="8" t="s">
        <v>221</v>
      </c>
      <c r="C145" s="8" t="s">
        <v>53</v>
      </c>
      <c r="E145" s="9">
        <v>0</v>
      </c>
      <c r="F145" s="9"/>
      <c r="G145" s="9">
        <v>0</v>
      </c>
      <c r="H145" s="9"/>
      <c r="I145" s="9">
        <v>0</v>
      </c>
      <c r="J145" s="9"/>
      <c r="K145" s="9">
        <v>0</v>
      </c>
      <c r="L145" s="9"/>
      <c r="M145" s="9">
        <v>0</v>
      </c>
      <c r="N145" s="9"/>
      <c r="O145" s="9">
        <v>0</v>
      </c>
      <c r="P145" s="9"/>
      <c r="Q145" s="9">
        <v>0</v>
      </c>
      <c r="R145" s="9"/>
      <c r="S145" s="9">
        <v>0</v>
      </c>
      <c r="T145" s="9"/>
      <c r="U145" s="9">
        <v>0</v>
      </c>
      <c r="V145" s="9"/>
      <c r="W145" s="9">
        <v>0</v>
      </c>
      <c r="X145" s="9"/>
      <c r="Y145" s="9">
        <v>0</v>
      </c>
      <c r="Z145" s="9"/>
      <c r="AA145" s="9">
        <v>0</v>
      </c>
      <c r="AB145" s="9"/>
      <c r="AC145" s="9">
        <f t="shared" si="4"/>
        <v>0</v>
      </c>
    </row>
    <row r="146" spans="1:29" s="8" customFormat="1" ht="12" hidden="1">
      <c r="A146" s="8" t="s">
        <v>219</v>
      </c>
      <c r="C146" s="8" t="s">
        <v>65</v>
      </c>
      <c r="E146" s="9">
        <v>0</v>
      </c>
      <c r="F146" s="9"/>
      <c r="G146" s="9">
        <v>0</v>
      </c>
      <c r="H146" s="9"/>
      <c r="I146" s="9">
        <v>0</v>
      </c>
      <c r="J146" s="9"/>
      <c r="K146" s="9">
        <v>0</v>
      </c>
      <c r="L146" s="9"/>
      <c r="M146" s="9">
        <v>0</v>
      </c>
      <c r="N146" s="9"/>
      <c r="O146" s="9">
        <v>0</v>
      </c>
      <c r="P146" s="9"/>
      <c r="Q146" s="9">
        <v>0</v>
      </c>
      <c r="R146" s="9"/>
      <c r="S146" s="9">
        <v>0</v>
      </c>
      <c r="T146" s="9"/>
      <c r="U146" s="9">
        <v>0</v>
      </c>
      <c r="V146" s="9"/>
      <c r="W146" s="9">
        <v>0</v>
      </c>
      <c r="X146" s="9"/>
      <c r="Y146" s="9">
        <v>0</v>
      </c>
      <c r="Z146" s="9"/>
      <c r="AA146" s="9">
        <v>0</v>
      </c>
      <c r="AB146" s="9"/>
      <c r="AC146" s="9">
        <f t="shared" si="4"/>
        <v>0</v>
      </c>
    </row>
    <row r="147" spans="1:63" s="8" customFormat="1" ht="12">
      <c r="A147" s="38" t="s">
        <v>147</v>
      </c>
      <c r="B147" s="38"/>
      <c r="C147" s="38" t="s">
        <v>562</v>
      </c>
      <c r="D147" s="38"/>
      <c r="E147" s="38">
        <v>132883.9</v>
      </c>
      <c r="F147" s="38"/>
      <c r="G147" s="38">
        <v>33114.41</v>
      </c>
      <c r="H147" s="38"/>
      <c r="I147" s="38">
        <v>59928.55</v>
      </c>
      <c r="J147" s="38"/>
      <c r="K147" s="38">
        <v>32374</v>
      </c>
      <c r="L147" s="38"/>
      <c r="M147" s="38">
        <v>31298.27</v>
      </c>
      <c r="N147" s="38"/>
      <c r="O147" s="38">
        <v>3122</v>
      </c>
      <c r="P147" s="38"/>
      <c r="Q147" s="38">
        <v>18160.31</v>
      </c>
      <c r="R147" s="38"/>
      <c r="S147" s="38">
        <v>0</v>
      </c>
      <c r="T147" s="38"/>
      <c r="U147" s="38">
        <v>0</v>
      </c>
      <c r="V147" s="38"/>
      <c r="W147" s="38">
        <v>0</v>
      </c>
      <c r="X147" s="38"/>
      <c r="Y147" s="38">
        <v>0</v>
      </c>
      <c r="Z147" s="38"/>
      <c r="AA147" s="38">
        <v>0</v>
      </c>
      <c r="AB147" s="38"/>
      <c r="AC147" s="3">
        <f t="shared" si="4"/>
        <v>310881.44</v>
      </c>
      <c r="AD147" s="39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3"/>
    </row>
    <row r="148" spans="1:29" s="8" customFormat="1" ht="12" hidden="1">
      <c r="A148" s="8" t="s">
        <v>15</v>
      </c>
      <c r="C148" s="8" t="s">
        <v>16</v>
      </c>
      <c r="E148" s="9">
        <v>0</v>
      </c>
      <c r="F148" s="9"/>
      <c r="G148" s="9">
        <v>0</v>
      </c>
      <c r="H148" s="9"/>
      <c r="I148" s="9">
        <v>0</v>
      </c>
      <c r="J148" s="9"/>
      <c r="K148" s="9">
        <v>0</v>
      </c>
      <c r="L148" s="9"/>
      <c r="M148" s="9">
        <v>0</v>
      </c>
      <c r="N148" s="9"/>
      <c r="O148" s="9">
        <v>0</v>
      </c>
      <c r="P148" s="9"/>
      <c r="Q148" s="9">
        <v>0</v>
      </c>
      <c r="R148" s="9"/>
      <c r="S148" s="9">
        <v>0</v>
      </c>
      <c r="T148" s="9"/>
      <c r="U148" s="9">
        <v>0</v>
      </c>
      <c r="V148" s="9"/>
      <c r="W148" s="9">
        <v>0</v>
      </c>
      <c r="X148" s="9"/>
      <c r="Y148" s="9">
        <v>0</v>
      </c>
      <c r="Z148" s="9"/>
      <c r="AA148" s="9">
        <v>0</v>
      </c>
      <c r="AB148" s="9"/>
      <c r="AC148" s="9">
        <f t="shared" si="4"/>
        <v>0</v>
      </c>
    </row>
    <row r="149" spans="5:29" s="8" customFormat="1" ht="12"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21" t="s">
        <v>8</v>
      </c>
    </row>
    <row r="150" spans="1:43" s="20" customFormat="1" ht="12">
      <c r="A150" s="20" t="s">
        <v>496</v>
      </c>
      <c r="C150" s="20" t="s">
        <v>70</v>
      </c>
      <c r="E150" s="20">
        <v>1742142</v>
      </c>
      <c r="G150" s="20">
        <v>480033</v>
      </c>
      <c r="I150" s="20">
        <v>708403</v>
      </c>
      <c r="K150" s="20">
        <v>630952</v>
      </c>
      <c r="M150" s="20">
        <v>126452</v>
      </c>
      <c r="O150" s="20">
        <v>6877</v>
      </c>
      <c r="Q150" s="20">
        <v>172367</v>
      </c>
      <c r="S150" s="20">
        <v>0</v>
      </c>
      <c r="U150" s="20">
        <v>0</v>
      </c>
      <c r="W150" s="20">
        <v>268024</v>
      </c>
      <c r="Y150" s="20">
        <v>0</v>
      </c>
      <c r="AA150" s="20">
        <v>0</v>
      </c>
      <c r="AC150" s="20">
        <f aca="true" t="shared" si="5" ref="AC150:AC181">SUM(E150:AA150)</f>
        <v>4135250</v>
      </c>
      <c r="AQ150" s="20">
        <v>10653.53</v>
      </c>
    </row>
    <row r="151" spans="1:29" s="8" customFormat="1" ht="12" hidden="1">
      <c r="A151" s="8" t="s">
        <v>223</v>
      </c>
      <c r="C151" s="8" t="s">
        <v>182</v>
      </c>
      <c r="E151" s="9">
        <v>0</v>
      </c>
      <c r="F151" s="9"/>
      <c r="G151" s="9">
        <v>0</v>
      </c>
      <c r="H151" s="9"/>
      <c r="I151" s="9">
        <v>0</v>
      </c>
      <c r="J151" s="9"/>
      <c r="K151" s="9">
        <v>0</v>
      </c>
      <c r="L151" s="9"/>
      <c r="M151" s="9">
        <v>0</v>
      </c>
      <c r="N151" s="9"/>
      <c r="O151" s="9">
        <v>0</v>
      </c>
      <c r="P151" s="9"/>
      <c r="Q151" s="9">
        <v>0</v>
      </c>
      <c r="R151" s="9"/>
      <c r="S151" s="9">
        <v>0</v>
      </c>
      <c r="T151" s="9"/>
      <c r="U151" s="9">
        <v>0</v>
      </c>
      <c r="V151" s="9"/>
      <c r="W151" s="9">
        <v>0</v>
      </c>
      <c r="X151" s="9"/>
      <c r="Y151" s="9">
        <v>0</v>
      </c>
      <c r="Z151" s="9"/>
      <c r="AA151" s="9">
        <v>0</v>
      </c>
      <c r="AB151" s="9"/>
      <c r="AC151" s="9">
        <f t="shared" si="5"/>
        <v>0</v>
      </c>
    </row>
    <row r="152" spans="1:29" s="8" customFormat="1" ht="12" hidden="1">
      <c r="A152" s="8" t="s">
        <v>224</v>
      </c>
      <c r="C152" s="8" t="s">
        <v>56</v>
      </c>
      <c r="E152" s="9">
        <v>0</v>
      </c>
      <c r="F152" s="9"/>
      <c r="G152" s="9">
        <v>0</v>
      </c>
      <c r="H152" s="9"/>
      <c r="I152" s="9">
        <v>0</v>
      </c>
      <c r="J152" s="9"/>
      <c r="K152" s="9">
        <v>0</v>
      </c>
      <c r="L152" s="9"/>
      <c r="M152" s="9">
        <v>0</v>
      </c>
      <c r="N152" s="9"/>
      <c r="O152" s="9">
        <v>0</v>
      </c>
      <c r="P152" s="9"/>
      <c r="Q152" s="9">
        <v>0</v>
      </c>
      <c r="R152" s="9"/>
      <c r="S152" s="9">
        <v>0</v>
      </c>
      <c r="T152" s="9"/>
      <c r="U152" s="9">
        <v>0</v>
      </c>
      <c r="V152" s="9"/>
      <c r="W152" s="9">
        <v>0</v>
      </c>
      <c r="X152" s="9"/>
      <c r="Y152" s="9">
        <v>0</v>
      </c>
      <c r="Z152" s="9"/>
      <c r="AA152" s="9">
        <v>0</v>
      </c>
      <c r="AB152" s="9"/>
      <c r="AC152" s="9">
        <f t="shared" si="5"/>
        <v>0</v>
      </c>
    </row>
    <row r="153" spans="1:29" s="8" customFormat="1" ht="12" hidden="1">
      <c r="A153" s="8" t="s">
        <v>225</v>
      </c>
      <c r="C153" s="8" t="s">
        <v>26</v>
      </c>
      <c r="E153" s="9">
        <v>0</v>
      </c>
      <c r="F153" s="9"/>
      <c r="G153" s="9">
        <v>0</v>
      </c>
      <c r="H153" s="9"/>
      <c r="I153" s="9">
        <v>0</v>
      </c>
      <c r="J153" s="9"/>
      <c r="K153" s="9">
        <v>0</v>
      </c>
      <c r="L153" s="9"/>
      <c r="M153" s="9">
        <v>0</v>
      </c>
      <c r="N153" s="9"/>
      <c r="O153" s="9">
        <v>0</v>
      </c>
      <c r="P153" s="9"/>
      <c r="Q153" s="9">
        <v>0</v>
      </c>
      <c r="R153" s="9"/>
      <c r="S153" s="9">
        <v>0</v>
      </c>
      <c r="T153" s="9"/>
      <c r="U153" s="9">
        <v>0</v>
      </c>
      <c r="V153" s="9"/>
      <c r="W153" s="9">
        <v>0</v>
      </c>
      <c r="X153" s="9"/>
      <c r="Y153" s="9">
        <v>0</v>
      </c>
      <c r="Z153" s="9"/>
      <c r="AA153" s="9">
        <v>0</v>
      </c>
      <c r="AB153" s="9"/>
      <c r="AC153" s="9">
        <f t="shared" si="5"/>
        <v>0</v>
      </c>
    </row>
    <row r="154" spans="1:29" s="8" customFormat="1" ht="12" hidden="1">
      <c r="A154" s="8" t="s">
        <v>226</v>
      </c>
      <c r="C154" s="8" t="s">
        <v>66</v>
      </c>
      <c r="E154" s="9">
        <v>0</v>
      </c>
      <c r="F154" s="9"/>
      <c r="G154" s="9">
        <v>0</v>
      </c>
      <c r="H154" s="9"/>
      <c r="I154" s="9">
        <v>0</v>
      </c>
      <c r="J154" s="9"/>
      <c r="K154" s="9">
        <v>0</v>
      </c>
      <c r="L154" s="9"/>
      <c r="M154" s="9">
        <v>0</v>
      </c>
      <c r="N154" s="9"/>
      <c r="O154" s="9">
        <v>0</v>
      </c>
      <c r="P154" s="9"/>
      <c r="Q154" s="9">
        <v>0</v>
      </c>
      <c r="R154" s="9"/>
      <c r="S154" s="9">
        <v>0</v>
      </c>
      <c r="T154" s="9"/>
      <c r="U154" s="9">
        <v>0</v>
      </c>
      <c r="V154" s="9"/>
      <c r="W154" s="9">
        <v>0</v>
      </c>
      <c r="X154" s="9"/>
      <c r="Y154" s="9">
        <v>0</v>
      </c>
      <c r="Z154" s="9"/>
      <c r="AA154" s="9">
        <v>0</v>
      </c>
      <c r="AB154" s="9"/>
      <c r="AC154" s="9">
        <f t="shared" si="5"/>
        <v>0</v>
      </c>
    </row>
    <row r="155" spans="1:29" s="8" customFormat="1" ht="12" hidden="1">
      <c r="A155" s="8" t="s">
        <v>227</v>
      </c>
      <c r="C155" s="8" t="s">
        <v>27</v>
      </c>
      <c r="E155" s="9">
        <v>0</v>
      </c>
      <c r="F155" s="9"/>
      <c r="G155" s="9">
        <v>0</v>
      </c>
      <c r="H155" s="9"/>
      <c r="I155" s="9">
        <v>0</v>
      </c>
      <c r="J155" s="9"/>
      <c r="K155" s="9">
        <v>0</v>
      </c>
      <c r="L155" s="9"/>
      <c r="M155" s="9">
        <v>0</v>
      </c>
      <c r="N155" s="9"/>
      <c r="O155" s="9">
        <v>0</v>
      </c>
      <c r="P155" s="9"/>
      <c r="Q155" s="9">
        <v>0</v>
      </c>
      <c r="R155" s="9"/>
      <c r="S155" s="9">
        <v>0</v>
      </c>
      <c r="T155" s="9"/>
      <c r="U155" s="9">
        <v>0</v>
      </c>
      <c r="V155" s="9"/>
      <c r="W155" s="9">
        <v>0</v>
      </c>
      <c r="X155" s="9"/>
      <c r="Y155" s="9">
        <v>0</v>
      </c>
      <c r="Z155" s="9"/>
      <c r="AA155" s="9">
        <v>0</v>
      </c>
      <c r="AB155" s="9"/>
      <c r="AC155" s="9">
        <f t="shared" si="5"/>
        <v>0</v>
      </c>
    </row>
    <row r="156" spans="1:29" s="8" customFormat="1" ht="12">
      <c r="A156" s="8" t="s">
        <v>148</v>
      </c>
      <c r="C156" s="8" t="s">
        <v>16</v>
      </c>
      <c r="E156" s="9">
        <v>219714</v>
      </c>
      <c r="F156" s="9"/>
      <c r="G156" s="9">
        <v>62497</v>
      </c>
      <c r="H156" s="9"/>
      <c r="I156" s="9">
        <v>55782</v>
      </c>
      <c r="J156" s="9"/>
      <c r="K156" s="9">
        <v>70675</v>
      </c>
      <c r="L156" s="9"/>
      <c r="M156" s="9">
        <v>9525</v>
      </c>
      <c r="N156" s="9"/>
      <c r="O156" s="9">
        <v>1186</v>
      </c>
      <c r="P156" s="9"/>
      <c r="Q156" s="9">
        <v>4483</v>
      </c>
      <c r="R156" s="9"/>
      <c r="S156" s="9">
        <v>0</v>
      </c>
      <c r="T156" s="9"/>
      <c r="U156" s="9">
        <v>0</v>
      </c>
      <c r="V156" s="9"/>
      <c r="W156" s="9">
        <v>20000</v>
      </c>
      <c r="X156" s="9"/>
      <c r="Y156" s="9">
        <v>0</v>
      </c>
      <c r="Z156" s="9"/>
      <c r="AA156" s="9">
        <v>0</v>
      </c>
      <c r="AB156" s="9"/>
      <c r="AC156" s="9">
        <f t="shared" si="5"/>
        <v>443862</v>
      </c>
    </row>
    <row r="157" spans="1:29" s="8" customFormat="1" ht="12">
      <c r="A157" s="8" t="s">
        <v>149</v>
      </c>
      <c r="C157" s="8" t="s">
        <v>150</v>
      </c>
      <c r="E157" s="9">
        <v>866456</v>
      </c>
      <c r="F157" s="9"/>
      <c r="G157" s="9">
        <v>0</v>
      </c>
      <c r="H157" s="9"/>
      <c r="I157" s="9">
        <f>3162777-866456-84433</f>
        <v>2211888</v>
      </c>
      <c r="J157" s="9"/>
      <c r="K157" s="9">
        <v>0</v>
      </c>
      <c r="L157" s="9"/>
      <c r="M157" s="9">
        <v>0</v>
      </c>
      <c r="N157" s="9"/>
      <c r="O157" s="9">
        <v>0</v>
      </c>
      <c r="P157" s="9"/>
      <c r="Q157" s="9">
        <v>84433</v>
      </c>
      <c r="R157" s="9"/>
      <c r="S157" s="9">
        <v>0</v>
      </c>
      <c r="T157" s="9"/>
      <c r="U157" s="9">
        <v>0</v>
      </c>
      <c r="V157" s="9"/>
      <c r="W157" s="9">
        <v>210000</v>
      </c>
      <c r="X157" s="9"/>
      <c r="Y157" s="9">
        <v>0</v>
      </c>
      <c r="Z157" s="9"/>
      <c r="AA157" s="9">
        <v>0</v>
      </c>
      <c r="AB157" s="9"/>
      <c r="AC157" s="9">
        <f t="shared" si="5"/>
        <v>3372777</v>
      </c>
    </row>
    <row r="158" spans="1:63" s="8" customFormat="1" ht="12">
      <c r="A158" s="38" t="s">
        <v>522</v>
      </c>
      <c r="B158" s="38"/>
      <c r="C158" s="38" t="s">
        <v>564</v>
      </c>
      <c r="D158" s="38"/>
      <c r="E158" s="38">
        <v>1334297.49</v>
      </c>
      <c r="F158" s="38"/>
      <c r="G158" s="38">
        <v>427955.33</v>
      </c>
      <c r="H158" s="38"/>
      <c r="I158" s="38">
        <v>816186.26</v>
      </c>
      <c r="J158" s="38"/>
      <c r="K158" s="38">
        <v>277122.47</v>
      </c>
      <c r="L158" s="38"/>
      <c r="M158" s="38">
        <v>117731.37</v>
      </c>
      <c r="N158" s="38"/>
      <c r="O158" s="38">
        <v>7419.5</v>
      </c>
      <c r="P158" s="38"/>
      <c r="Q158" s="38">
        <v>140889.17</v>
      </c>
      <c r="R158" s="38"/>
      <c r="S158" s="38">
        <v>0</v>
      </c>
      <c r="T158" s="38"/>
      <c r="U158" s="38">
        <v>41117.5</v>
      </c>
      <c r="V158" s="38"/>
      <c r="W158" s="38">
        <v>210000</v>
      </c>
      <c r="X158" s="38"/>
      <c r="Y158" s="38">
        <v>0</v>
      </c>
      <c r="Z158" s="38"/>
      <c r="AA158" s="38">
        <v>0</v>
      </c>
      <c r="AB158" s="38"/>
      <c r="AC158" s="3">
        <f t="shared" si="5"/>
        <v>3372719.09</v>
      </c>
      <c r="AD158" s="39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3"/>
    </row>
    <row r="159" spans="1:63" s="8" customFormat="1" ht="12">
      <c r="A159" s="38" t="s">
        <v>151</v>
      </c>
      <c r="B159" s="38"/>
      <c r="C159" s="38" t="s">
        <v>580</v>
      </c>
      <c r="D159" s="38"/>
      <c r="E159" s="38">
        <v>449919.69</v>
      </c>
      <c r="F159" s="38"/>
      <c r="G159" s="38">
        <v>167797.15</v>
      </c>
      <c r="H159" s="38"/>
      <c r="I159" s="38">
        <v>101556.28</v>
      </c>
      <c r="J159" s="38"/>
      <c r="K159" s="38">
        <v>136286.02</v>
      </c>
      <c r="L159" s="38"/>
      <c r="M159" s="38">
        <v>19846.38</v>
      </c>
      <c r="N159" s="38"/>
      <c r="O159" s="38">
        <v>78.45</v>
      </c>
      <c r="P159" s="38"/>
      <c r="Q159" s="38">
        <v>5012.14</v>
      </c>
      <c r="R159" s="38"/>
      <c r="S159" s="38">
        <v>0</v>
      </c>
      <c r="T159" s="38"/>
      <c r="U159" s="38">
        <v>0</v>
      </c>
      <c r="V159" s="38"/>
      <c r="W159" s="38">
        <v>0</v>
      </c>
      <c r="X159" s="38"/>
      <c r="Y159" s="38">
        <v>0</v>
      </c>
      <c r="Z159" s="38"/>
      <c r="AA159" s="38">
        <v>0</v>
      </c>
      <c r="AB159" s="38"/>
      <c r="AC159" s="3">
        <f t="shared" si="5"/>
        <v>880496.11</v>
      </c>
      <c r="AD159" s="39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3"/>
    </row>
    <row r="160" spans="1:29" s="8" customFormat="1" ht="12" hidden="1">
      <c r="A160" s="8" t="s">
        <v>233</v>
      </c>
      <c r="C160" s="8" t="s">
        <v>13</v>
      </c>
      <c r="E160" s="9">
        <v>0</v>
      </c>
      <c r="F160" s="9"/>
      <c r="G160" s="9">
        <v>0</v>
      </c>
      <c r="H160" s="9"/>
      <c r="I160" s="9">
        <v>0</v>
      </c>
      <c r="J160" s="9"/>
      <c r="K160" s="9">
        <v>0</v>
      </c>
      <c r="L160" s="9"/>
      <c r="M160" s="9">
        <v>0</v>
      </c>
      <c r="N160" s="9"/>
      <c r="O160" s="9">
        <v>0</v>
      </c>
      <c r="P160" s="9"/>
      <c r="Q160" s="9">
        <v>0</v>
      </c>
      <c r="R160" s="9"/>
      <c r="S160" s="9">
        <v>0</v>
      </c>
      <c r="T160" s="9"/>
      <c r="U160" s="9">
        <v>0</v>
      </c>
      <c r="V160" s="9"/>
      <c r="W160" s="9">
        <v>0</v>
      </c>
      <c r="X160" s="9"/>
      <c r="Y160" s="9">
        <v>0</v>
      </c>
      <c r="Z160" s="9"/>
      <c r="AA160" s="9">
        <v>0</v>
      </c>
      <c r="AB160" s="9"/>
      <c r="AC160" s="9">
        <f t="shared" si="5"/>
        <v>0</v>
      </c>
    </row>
    <row r="161" spans="1:63" s="8" customFormat="1" ht="12">
      <c r="A161" s="38" t="s">
        <v>152</v>
      </c>
      <c r="B161" s="38"/>
      <c r="C161" s="38" t="s">
        <v>565</v>
      </c>
      <c r="D161" s="38"/>
      <c r="E161" s="38">
        <v>48000.09</v>
      </c>
      <c r="F161" s="38"/>
      <c r="G161" s="38">
        <v>12120.76</v>
      </c>
      <c r="H161" s="38"/>
      <c r="I161" s="38">
        <v>24087.76</v>
      </c>
      <c r="J161" s="38"/>
      <c r="K161" s="38">
        <v>24542.91</v>
      </c>
      <c r="L161" s="38"/>
      <c r="M161" s="38">
        <v>4396.67</v>
      </c>
      <c r="N161" s="38"/>
      <c r="O161" s="38">
        <v>1056</v>
      </c>
      <c r="P161" s="38"/>
      <c r="Q161" s="38">
        <v>2796.72</v>
      </c>
      <c r="R161" s="38"/>
      <c r="S161" s="38">
        <v>0</v>
      </c>
      <c r="T161" s="38"/>
      <c r="U161" s="38">
        <v>0</v>
      </c>
      <c r="V161" s="38"/>
      <c r="W161" s="38">
        <v>0</v>
      </c>
      <c r="X161" s="38"/>
      <c r="Y161" s="38">
        <v>0</v>
      </c>
      <c r="Z161" s="38"/>
      <c r="AA161" s="38">
        <v>0</v>
      </c>
      <c r="AB161" s="38"/>
      <c r="AC161" s="3">
        <f t="shared" si="5"/>
        <v>117000.91</v>
      </c>
      <c r="AD161" s="39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3"/>
    </row>
    <row r="162" spans="1:29" s="8" customFormat="1" ht="12">
      <c r="A162" s="8" t="s">
        <v>153</v>
      </c>
      <c r="C162" s="8" t="s">
        <v>53</v>
      </c>
      <c r="E162" s="9">
        <v>57812</v>
      </c>
      <c r="F162" s="9"/>
      <c r="G162" s="9">
        <v>8654</v>
      </c>
      <c r="H162" s="9"/>
      <c r="I162" s="9">
        <v>16869</v>
      </c>
      <c r="J162" s="9"/>
      <c r="K162" s="9">
        <v>29956</v>
      </c>
      <c r="L162" s="9"/>
      <c r="M162" s="9">
        <v>14924</v>
      </c>
      <c r="N162" s="9"/>
      <c r="O162" s="9">
        <v>963</v>
      </c>
      <c r="P162" s="9"/>
      <c r="Q162" s="9">
        <v>3551</v>
      </c>
      <c r="R162" s="9"/>
      <c r="S162" s="9">
        <v>0</v>
      </c>
      <c r="T162" s="9"/>
      <c r="U162" s="9">
        <v>0</v>
      </c>
      <c r="V162" s="9"/>
      <c r="W162" s="9">
        <v>0</v>
      </c>
      <c r="X162" s="9"/>
      <c r="Y162" s="9">
        <v>0</v>
      </c>
      <c r="Z162" s="9"/>
      <c r="AA162" s="9">
        <v>0</v>
      </c>
      <c r="AB162" s="9"/>
      <c r="AC162" s="9">
        <f t="shared" si="5"/>
        <v>132729</v>
      </c>
    </row>
    <row r="163" spans="1:63" s="8" customFormat="1" ht="12">
      <c r="A163" s="38" t="s">
        <v>154</v>
      </c>
      <c r="B163" s="38"/>
      <c r="C163" s="38" t="s">
        <v>599</v>
      </c>
      <c r="D163" s="38"/>
      <c r="E163" s="38">
        <v>830847.44</v>
      </c>
      <c r="F163" s="38"/>
      <c r="G163" s="38">
        <v>259168.4</v>
      </c>
      <c r="H163" s="38"/>
      <c r="I163" s="38">
        <v>131634.44</v>
      </c>
      <c r="J163" s="38"/>
      <c r="K163" s="38">
        <v>282090.77</v>
      </c>
      <c r="L163" s="38"/>
      <c r="M163" s="38">
        <v>50281.45</v>
      </c>
      <c r="N163" s="38"/>
      <c r="O163" s="38">
        <v>12052.52</v>
      </c>
      <c r="P163" s="38"/>
      <c r="Q163" s="38">
        <v>18939.06</v>
      </c>
      <c r="R163" s="38"/>
      <c r="S163" s="38">
        <v>0</v>
      </c>
      <c r="T163" s="38"/>
      <c r="U163" s="38">
        <v>0</v>
      </c>
      <c r="V163" s="38"/>
      <c r="W163" s="38">
        <v>0</v>
      </c>
      <c r="X163" s="38"/>
      <c r="Y163" s="38">
        <v>0</v>
      </c>
      <c r="Z163" s="38"/>
      <c r="AA163" s="38">
        <v>6367.41</v>
      </c>
      <c r="AB163" s="38"/>
      <c r="AC163" s="3">
        <f t="shared" si="5"/>
        <v>1591381.4899999998</v>
      </c>
      <c r="AD163" s="39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3"/>
    </row>
    <row r="164" spans="1:63" s="8" customFormat="1" ht="12">
      <c r="A164" s="38" t="s">
        <v>155</v>
      </c>
      <c r="B164" s="38"/>
      <c r="C164" s="38" t="s">
        <v>556</v>
      </c>
      <c r="D164" s="38"/>
      <c r="E164" s="38">
        <v>328094.45</v>
      </c>
      <c r="F164" s="38"/>
      <c r="G164" s="38">
        <v>75584.16</v>
      </c>
      <c r="H164" s="38"/>
      <c r="I164" s="38">
        <v>109199.3</v>
      </c>
      <c r="J164" s="38"/>
      <c r="K164" s="38">
        <v>118189.95</v>
      </c>
      <c r="L164" s="38"/>
      <c r="M164" s="38">
        <v>15545.53</v>
      </c>
      <c r="N164" s="38"/>
      <c r="O164" s="38">
        <v>2037.31</v>
      </c>
      <c r="P164" s="38"/>
      <c r="Q164" s="38">
        <v>3677.51</v>
      </c>
      <c r="R164" s="38"/>
      <c r="S164" s="38">
        <v>0</v>
      </c>
      <c r="T164" s="38"/>
      <c r="U164" s="38">
        <v>0</v>
      </c>
      <c r="V164" s="38"/>
      <c r="W164" s="38">
        <v>0</v>
      </c>
      <c r="X164" s="38"/>
      <c r="Y164" s="38">
        <v>0</v>
      </c>
      <c r="Z164" s="38"/>
      <c r="AA164" s="38">
        <v>0</v>
      </c>
      <c r="AB164" s="38"/>
      <c r="AC164" s="3">
        <f t="shared" si="5"/>
        <v>652328.2100000001</v>
      </c>
      <c r="AD164" s="39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3"/>
    </row>
    <row r="165" spans="1:29" s="8" customFormat="1" ht="12" hidden="1">
      <c r="A165" s="8" t="s">
        <v>236</v>
      </c>
      <c r="C165" s="8" t="s">
        <v>237</v>
      </c>
      <c r="E165" s="9">
        <v>0</v>
      </c>
      <c r="F165" s="9"/>
      <c r="G165" s="9">
        <v>0</v>
      </c>
      <c r="H165" s="9"/>
      <c r="I165" s="9">
        <v>0</v>
      </c>
      <c r="J165" s="9"/>
      <c r="K165" s="9">
        <v>0</v>
      </c>
      <c r="L165" s="9"/>
      <c r="M165" s="9">
        <v>0</v>
      </c>
      <c r="N165" s="9"/>
      <c r="O165" s="9">
        <v>0</v>
      </c>
      <c r="P165" s="9"/>
      <c r="Q165" s="9">
        <v>0</v>
      </c>
      <c r="R165" s="9"/>
      <c r="S165" s="9">
        <v>0</v>
      </c>
      <c r="T165" s="9"/>
      <c r="U165" s="9">
        <v>0</v>
      </c>
      <c r="V165" s="9"/>
      <c r="W165" s="9">
        <v>0</v>
      </c>
      <c r="X165" s="9"/>
      <c r="Y165" s="9">
        <v>0</v>
      </c>
      <c r="Z165" s="9"/>
      <c r="AA165" s="9">
        <v>0</v>
      </c>
      <c r="AB165" s="9"/>
      <c r="AC165" s="9">
        <f t="shared" si="5"/>
        <v>0</v>
      </c>
    </row>
    <row r="166" spans="1:29" s="8" customFormat="1" ht="12" hidden="1">
      <c r="A166" s="8" t="s">
        <v>238</v>
      </c>
      <c r="C166" s="8" t="s">
        <v>123</v>
      </c>
      <c r="E166" s="9">
        <v>0</v>
      </c>
      <c r="F166" s="9"/>
      <c r="G166" s="9">
        <v>0</v>
      </c>
      <c r="H166" s="9"/>
      <c r="I166" s="9">
        <v>0</v>
      </c>
      <c r="J166" s="9"/>
      <c r="K166" s="9">
        <v>0</v>
      </c>
      <c r="L166" s="9"/>
      <c r="M166" s="9">
        <v>0</v>
      </c>
      <c r="N166" s="9"/>
      <c r="O166" s="9">
        <v>0</v>
      </c>
      <c r="P166" s="9"/>
      <c r="Q166" s="9">
        <v>0</v>
      </c>
      <c r="R166" s="9"/>
      <c r="S166" s="9">
        <v>0</v>
      </c>
      <c r="T166" s="9"/>
      <c r="U166" s="9">
        <v>0</v>
      </c>
      <c r="V166" s="9"/>
      <c r="W166" s="9">
        <v>0</v>
      </c>
      <c r="X166" s="9"/>
      <c r="Y166" s="9">
        <v>0</v>
      </c>
      <c r="Z166" s="9"/>
      <c r="AA166" s="9">
        <v>0</v>
      </c>
      <c r="AB166" s="9"/>
      <c r="AC166" s="9">
        <f t="shared" si="5"/>
        <v>0</v>
      </c>
    </row>
    <row r="167" spans="1:29" s="8" customFormat="1" ht="12">
      <c r="A167" s="8" t="s">
        <v>156</v>
      </c>
      <c r="C167" s="8" t="s">
        <v>157</v>
      </c>
      <c r="E167" s="9">
        <v>526653</v>
      </c>
      <c r="F167" s="9"/>
      <c r="G167" s="9">
        <v>157401</v>
      </c>
      <c r="H167" s="9"/>
      <c r="I167" s="9">
        <v>154856</v>
      </c>
      <c r="J167" s="9"/>
      <c r="K167" s="9">
        <v>153925</v>
      </c>
      <c r="L167" s="9"/>
      <c r="M167" s="9">
        <v>33301</v>
      </c>
      <c r="N167" s="9"/>
      <c r="O167" s="9">
        <v>4998</v>
      </c>
      <c r="P167" s="9"/>
      <c r="Q167" s="9">
        <v>35654</v>
      </c>
      <c r="R167" s="9"/>
      <c r="S167" s="9">
        <v>0</v>
      </c>
      <c r="T167" s="9"/>
      <c r="U167" s="9">
        <v>0</v>
      </c>
      <c r="V167" s="9"/>
      <c r="W167" s="9">
        <v>0</v>
      </c>
      <c r="X167" s="9"/>
      <c r="Y167" s="9">
        <v>0</v>
      </c>
      <c r="Z167" s="9"/>
      <c r="AA167" s="9">
        <v>0</v>
      </c>
      <c r="AB167" s="9"/>
      <c r="AC167" s="9">
        <f t="shared" si="5"/>
        <v>1066788</v>
      </c>
    </row>
    <row r="168" spans="1:29" s="8" customFormat="1" ht="12" hidden="1">
      <c r="A168" s="8" t="s">
        <v>239</v>
      </c>
      <c r="C168" s="8" t="s">
        <v>84</v>
      </c>
      <c r="E168" s="9">
        <v>0</v>
      </c>
      <c r="F168" s="9"/>
      <c r="G168" s="9">
        <v>0</v>
      </c>
      <c r="H168" s="9"/>
      <c r="I168" s="9">
        <v>0</v>
      </c>
      <c r="J168" s="9"/>
      <c r="K168" s="9">
        <v>0</v>
      </c>
      <c r="L168" s="9"/>
      <c r="M168" s="9">
        <v>0</v>
      </c>
      <c r="N168" s="9"/>
      <c r="O168" s="9">
        <v>0</v>
      </c>
      <c r="P168" s="9"/>
      <c r="Q168" s="9">
        <v>0</v>
      </c>
      <c r="R168" s="9"/>
      <c r="S168" s="9">
        <v>0</v>
      </c>
      <c r="T168" s="9"/>
      <c r="U168" s="9">
        <v>0</v>
      </c>
      <c r="V168" s="9"/>
      <c r="W168" s="9">
        <v>0</v>
      </c>
      <c r="X168" s="9"/>
      <c r="Y168" s="9">
        <v>0</v>
      </c>
      <c r="Z168" s="9"/>
      <c r="AA168" s="9">
        <v>0</v>
      </c>
      <c r="AB168" s="9"/>
      <c r="AC168" s="9">
        <f t="shared" si="5"/>
        <v>0</v>
      </c>
    </row>
    <row r="169" spans="1:29" s="8" customFormat="1" ht="12" hidden="1">
      <c r="A169" s="8" t="s">
        <v>240</v>
      </c>
      <c r="C169" s="8" t="s">
        <v>69</v>
      </c>
      <c r="E169" s="9">
        <v>0</v>
      </c>
      <c r="F169" s="9"/>
      <c r="G169" s="9">
        <v>0</v>
      </c>
      <c r="H169" s="9"/>
      <c r="I169" s="9">
        <v>0</v>
      </c>
      <c r="J169" s="9"/>
      <c r="K169" s="9">
        <v>0</v>
      </c>
      <c r="L169" s="9"/>
      <c r="M169" s="9">
        <v>0</v>
      </c>
      <c r="N169" s="9"/>
      <c r="O169" s="9">
        <v>0</v>
      </c>
      <c r="P169" s="9"/>
      <c r="Q169" s="9">
        <v>0</v>
      </c>
      <c r="R169" s="9"/>
      <c r="S169" s="9">
        <v>0</v>
      </c>
      <c r="T169" s="9"/>
      <c r="U169" s="9">
        <v>0</v>
      </c>
      <c r="V169" s="9"/>
      <c r="W169" s="9">
        <v>0</v>
      </c>
      <c r="X169" s="9"/>
      <c r="Y169" s="9">
        <v>0</v>
      </c>
      <c r="Z169" s="9"/>
      <c r="AA169" s="9">
        <v>0</v>
      </c>
      <c r="AB169" s="9"/>
      <c r="AC169" s="9">
        <f t="shared" si="5"/>
        <v>0</v>
      </c>
    </row>
    <row r="170" spans="1:29" s="8" customFormat="1" ht="12">
      <c r="A170" s="8" t="s">
        <v>158</v>
      </c>
      <c r="C170" s="8" t="s">
        <v>18</v>
      </c>
      <c r="E170" s="9">
        <v>1324561</v>
      </c>
      <c r="F170" s="9"/>
      <c r="G170" s="9">
        <v>0</v>
      </c>
      <c r="H170" s="9"/>
      <c r="I170" s="9">
        <f>950964+2400363+3159</f>
        <v>3354486</v>
      </c>
      <c r="J170" s="9"/>
      <c r="K170" s="9">
        <v>944806</v>
      </c>
      <c r="L170" s="9"/>
      <c r="M170" s="9">
        <v>0</v>
      </c>
      <c r="N170" s="9"/>
      <c r="O170" s="9">
        <v>0</v>
      </c>
      <c r="P170" s="9"/>
      <c r="Q170" s="9">
        <v>74517</v>
      </c>
      <c r="R170" s="9"/>
      <c r="S170" s="9">
        <v>0</v>
      </c>
      <c r="T170" s="9"/>
      <c r="U170" s="9">
        <v>0</v>
      </c>
      <c r="V170" s="9"/>
      <c r="W170" s="9">
        <v>126568</v>
      </c>
      <c r="X170" s="9"/>
      <c r="Y170" s="9">
        <v>0</v>
      </c>
      <c r="Z170" s="9"/>
      <c r="AA170" s="9">
        <v>0</v>
      </c>
      <c r="AB170" s="9"/>
      <c r="AC170" s="9">
        <f t="shared" si="5"/>
        <v>5824938</v>
      </c>
    </row>
    <row r="171" spans="1:29" s="8" customFormat="1" ht="12" hidden="1">
      <c r="A171" s="8" t="s">
        <v>241</v>
      </c>
      <c r="C171" s="8" t="s">
        <v>27</v>
      </c>
      <c r="E171" s="9">
        <v>0</v>
      </c>
      <c r="F171" s="9"/>
      <c r="G171" s="9">
        <v>0</v>
      </c>
      <c r="H171" s="9"/>
      <c r="I171" s="9">
        <v>0</v>
      </c>
      <c r="J171" s="9"/>
      <c r="K171" s="9">
        <v>0</v>
      </c>
      <c r="L171" s="9"/>
      <c r="M171" s="9">
        <v>0</v>
      </c>
      <c r="N171" s="9"/>
      <c r="O171" s="9">
        <v>0</v>
      </c>
      <c r="P171" s="9"/>
      <c r="Q171" s="9">
        <v>0</v>
      </c>
      <c r="R171" s="9"/>
      <c r="S171" s="9">
        <v>0</v>
      </c>
      <c r="T171" s="9"/>
      <c r="U171" s="9">
        <v>0</v>
      </c>
      <c r="V171" s="9"/>
      <c r="W171" s="9">
        <v>0</v>
      </c>
      <c r="X171" s="9"/>
      <c r="Y171" s="9">
        <v>0</v>
      </c>
      <c r="Z171" s="9"/>
      <c r="AA171" s="9">
        <v>0</v>
      </c>
      <c r="AB171" s="9"/>
      <c r="AC171" s="9">
        <f t="shared" si="5"/>
        <v>0</v>
      </c>
    </row>
    <row r="172" spans="1:63" s="8" customFormat="1" ht="12">
      <c r="A172" s="38" t="s">
        <v>159</v>
      </c>
      <c r="B172" s="38"/>
      <c r="C172" s="38" t="s">
        <v>583</v>
      </c>
      <c r="D172" s="38"/>
      <c r="E172" s="38">
        <v>456205.04</v>
      </c>
      <c r="F172" s="38"/>
      <c r="G172" s="38">
        <v>119360.82</v>
      </c>
      <c r="H172" s="38"/>
      <c r="I172" s="38">
        <v>76944.46</v>
      </c>
      <c r="J172" s="38"/>
      <c r="K172" s="38">
        <v>96029.31</v>
      </c>
      <c r="L172" s="38"/>
      <c r="M172" s="38">
        <v>16785.67</v>
      </c>
      <c r="N172" s="38"/>
      <c r="O172" s="38">
        <v>5140.64</v>
      </c>
      <c r="P172" s="38"/>
      <c r="Q172" s="38">
        <v>7466.66</v>
      </c>
      <c r="R172" s="38"/>
      <c r="S172" s="38">
        <v>0</v>
      </c>
      <c r="T172" s="38"/>
      <c r="U172" s="38">
        <v>0</v>
      </c>
      <c r="V172" s="38"/>
      <c r="W172" s="38">
        <v>835000</v>
      </c>
      <c r="X172" s="38"/>
      <c r="Y172" s="38">
        <v>0</v>
      </c>
      <c r="Z172" s="38"/>
      <c r="AA172" s="38">
        <v>0</v>
      </c>
      <c r="AB172" s="38"/>
      <c r="AC172" s="3">
        <f t="shared" si="5"/>
        <v>1612932.6</v>
      </c>
      <c r="AD172" s="39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3"/>
    </row>
    <row r="173" spans="1:29" s="8" customFormat="1" ht="12" hidden="1">
      <c r="A173" s="8" t="s">
        <v>243</v>
      </c>
      <c r="C173" s="8" t="s">
        <v>244</v>
      </c>
      <c r="E173" s="9">
        <v>0</v>
      </c>
      <c r="F173" s="9"/>
      <c r="G173" s="9">
        <v>0</v>
      </c>
      <c r="H173" s="9"/>
      <c r="I173" s="9">
        <v>0</v>
      </c>
      <c r="J173" s="9"/>
      <c r="K173" s="9">
        <v>0</v>
      </c>
      <c r="L173" s="9"/>
      <c r="M173" s="9">
        <v>0</v>
      </c>
      <c r="N173" s="9"/>
      <c r="O173" s="9">
        <v>0</v>
      </c>
      <c r="P173" s="9"/>
      <c r="Q173" s="9">
        <v>0</v>
      </c>
      <c r="R173" s="9"/>
      <c r="S173" s="9">
        <v>0</v>
      </c>
      <c r="T173" s="9"/>
      <c r="U173" s="9">
        <v>0</v>
      </c>
      <c r="V173" s="9"/>
      <c r="W173" s="9">
        <v>0</v>
      </c>
      <c r="X173" s="9"/>
      <c r="Y173" s="9">
        <v>0</v>
      </c>
      <c r="Z173" s="9"/>
      <c r="AA173" s="9">
        <v>0</v>
      </c>
      <c r="AB173" s="9"/>
      <c r="AC173" s="9">
        <f t="shared" si="5"/>
        <v>0</v>
      </c>
    </row>
    <row r="174" spans="1:29" s="8" customFormat="1" ht="12" hidden="1">
      <c r="A174" s="8" t="s">
        <v>245</v>
      </c>
      <c r="C174" s="8" t="s">
        <v>45</v>
      </c>
      <c r="E174" s="9">
        <v>0</v>
      </c>
      <c r="F174" s="9"/>
      <c r="G174" s="9">
        <v>0</v>
      </c>
      <c r="H174" s="9"/>
      <c r="I174" s="9">
        <v>0</v>
      </c>
      <c r="J174" s="9"/>
      <c r="K174" s="9">
        <v>0</v>
      </c>
      <c r="L174" s="9"/>
      <c r="M174" s="9">
        <v>0</v>
      </c>
      <c r="N174" s="9"/>
      <c r="O174" s="9">
        <v>0</v>
      </c>
      <c r="P174" s="9"/>
      <c r="Q174" s="9">
        <v>0</v>
      </c>
      <c r="R174" s="9"/>
      <c r="S174" s="9">
        <v>0</v>
      </c>
      <c r="T174" s="9"/>
      <c r="U174" s="9">
        <v>0</v>
      </c>
      <c r="V174" s="9"/>
      <c r="W174" s="9">
        <v>0</v>
      </c>
      <c r="X174" s="9"/>
      <c r="Y174" s="9">
        <v>0</v>
      </c>
      <c r="Z174" s="9"/>
      <c r="AA174" s="9">
        <v>0</v>
      </c>
      <c r="AB174" s="9"/>
      <c r="AC174" s="9">
        <f t="shared" si="5"/>
        <v>0</v>
      </c>
    </row>
    <row r="175" spans="1:29" s="8" customFormat="1" ht="12" hidden="1">
      <c r="A175" s="8" t="s">
        <v>246</v>
      </c>
      <c r="C175" s="8" t="s">
        <v>68</v>
      </c>
      <c r="E175" s="9">
        <v>0</v>
      </c>
      <c r="F175" s="9"/>
      <c r="G175" s="9">
        <v>0</v>
      </c>
      <c r="H175" s="9"/>
      <c r="I175" s="9">
        <v>0</v>
      </c>
      <c r="J175" s="9"/>
      <c r="K175" s="9">
        <v>0</v>
      </c>
      <c r="L175" s="9"/>
      <c r="M175" s="9">
        <v>0</v>
      </c>
      <c r="N175" s="9"/>
      <c r="O175" s="9">
        <v>0</v>
      </c>
      <c r="P175" s="9"/>
      <c r="Q175" s="9">
        <v>0</v>
      </c>
      <c r="R175" s="9"/>
      <c r="S175" s="9">
        <v>0</v>
      </c>
      <c r="T175" s="9"/>
      <c r="U175" s="9">
        <v>0</v>
      </c>
      <c r="V175" s="9"/>
      <c r="W175" s="9">
        <v>0</v>
      </c>
      <c r="X175" s="9"/>
      <c r="Y175" s="9">
        <v>0</v>
      </c>
      <c r="Z175" s="9"/>
      <c r="AA175" s="9">
        <v>0</v>
      </c>
      <c r="AB175" s="9"/>
      <c r="AC175" s="9">
        <f t="shared" si="5"/>
        <v>0</v>
      </c>
    </row>
    <row r="176" spans="1:63" s="8" customFormat="1" ht="12">
      <c r="A176" s="38" t="s">
        <v>523</v>
      </c>
      <c r="B176" s="38"/>
      <c r="C176" s="38" t="s">
        <v>597</v>
      </c>
      <c r="D176" s="38"/>
      <c r="E176" s="38">
        <v>427348.05</v>
      </c>
      <c r="F176" s="38"/>
      <c r="G176" s="38">
        <v>190131.8</v>
      </c>
      <c r="H176" s="38"/>
      <c r="I176" s="38">
        <v>102047.31</v>
      </c>
      <c r="J176" s="38"/>
      <c r="K176" s="38">
        <v>122741.38</v>
      </c>
      <c r="L176" s="38"/>
      <c r="M176" s="38">
        <v>21580.75</v>
      </c>
      <c r="N176" s="38"/>
      <c r="O176" s="38">
        <v>10315.17</v>
      </c>
      <c r="P176" s="38"/>
      <c r="Q176" s="38">
        <v>18865.01</v>
      </c>
      <c r="R176" s="38"/>
      <c r="S176" s="38">
        <v>0</v>
      </c>
      <c r="T176" s="38"/>
      <c r="U176" s="38">
        <v>0</v>
      </c>
      <c r="V176" s="38"/>
      <c r="W176" s="38">
        <v>0</v>
      </c>
      <c r="X176" s="38"/>
      <c r="Y176" s="38">
        <v>0</v>
      </c>
      <c r="Z176" s="38"/>
      <c r="AA176" s="38">
        <v>0</v>
      </c>
      <c r="AB176" s="38"/>
      <c r="AC176" s="3">
        <f t="shared" si="5"/>
        <v>893029.47</v>
      </c>
      <c r="AD176" s="39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3"/>
    </row>
    <row r="177" spans="1:63" s="8" customFormat="1" ht="12">
      <c r="A177" s="38" t="s">
        <v>524</v>
      </c>
      <c r="B177" s="38"/>
      <c r="C177" s="38" t="s">
        <v>598</v>
      </c>
      <c r="D177" s="38"/>
      <c r="E177" s="38">
        <v>84431.03</v>
      </c>
      <c r="F177" s="38"/>
      <c r="G177" s="38">
        <v>13184.51</v>
      </c>
      <c r="H177" s="38"/>
      <c r="I177" s="38">
        <v>17131.16</v>
      </c>
      <c r="J177" s="38"/>
      <c r="K177" s="38">
        <v>30012.31</v>
      </c>
      <c r="L177" s="38"/>
      <c r="M177" s="38">
        <v>6121.18</v>
      </c>
      <c r="N177" s="38"/>
      <c r="O177" s="38">
        <v>410</v>
      </c>
      <c r="P177" s="38"/>
      <c r="Q177" s="38">
        <v>1706</v>
      </c>
      <c r="R177" s="38"/>
      <c r="S177" s="38">
        <v>0</v>
      </c>
      <c r="T177" s="38"/>
      <c r="U177" s="38">
        <v>0</v>
      </c>
      <c r="V177" s="38"/>
      <c r="W177" s="38">
        <v>0</v>
      </c>
      <c r="X177" s="38"/>
      <c r="Y177" s="38">
        <v>0</v>
      </c>
      <c r="Z177" s="38"/>
      <c r="AA177" s="38">
        <v>8</v>
      </c>
      <c r="AB177" s="38"/>
      <c r="AC177" s="3">
        <f t="shared" si="5"/>
        <v>153004.19</v>
      </c>
      <c r="AD177" s="39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3"/>
    </row>
    <row r="178" spans="1:29" s="8" customFormat="1" ht="12" hidden="1">
      <c r="A178" s="8" t="s">
        <v>248</v>
      </c>
      <c r="C178" s="8" t="s">
        <v>95</v>
      </c>
      <c r="E178" s="9">
        <v>0</v>
      </c>
      <c r="F178" s="9"/>
      <c r="G178" s="9">
        <v>0</v>
      </c>
      <c r="H178" s="9"/>
      <c r="I178" s="9">
        <v>0</v>
      </c>
      <c r="J178" s="9"/>
      <c r="K178" s="9">
        <v>0</v>
      </c>
      <c r="L178" s="9"/>
      <c r="M178" s="9">
        <v>0</v>
      </c>
      <c r="N178" s="9"/>
      <c r="O178" s="9">
        <v>0</v>
      </c>
      <c r="P178" s="9"/>
      <c r="Q178" s="9">
        <v>0</v>
      </c>
      <c r="R178" s="9"/>
      <c r="S178" s="9">
        <v>0</v>
      </c>
      <c r="T178" s="9"/>
      <c r="U178" s="9">
        <v>0</v>
      </c>
      <c r="V178" s="9"/>
      <c r="W178" s="9">
        <v>0</v>
      </c>
      <c r="X178" s="9"/>
      <c r="Y178" s="9">
        <v>0</v>
      </c>
      <c r="Z178" s="9"/>
      <c r="AA178" s="9">
        <v>0</v>
      </c>
      <c r="AB178" s="9"/>
      <c r="AC178" s="9">
        <f t="shared" si="5"/>
        <v>0</v>
      </c>
    </row>
    <row r="179" spans="1:63" s="8" customFormat="1" ht="12">
      <c r="A179" s="38" t="s">
        <v>160</v>
      </c>
      <c r="B179" s="38"/>
      <c r="C179" s="38" t="s">
        <v>574</v>
      </c>
      <c r="D179" s="38"/>
      <c r="E179" s="38">
        <v>320117.66</v>
      </c>
      <c r="F179" s="38"/>
      <c r="G179" s="38">
        <v>98262.33</v>
      </c>
      <c r="H179" s="38"/>
      <c r="I179" s="38">
        <v>112224.22</v>
      </c>
      <c r="J179" s="38"/>
      <c r="K179" s="38">
        <v>108804.94</v>
      </c>
      <c r="L179" s="38"/>
      <c r="M179" s="38">
        <v>10291.65</v>
      </c>
      <c r="N179" s="38"/>
      <c r="O179" s="38">
        <v>4653.69</v>
      </c>
      <c r="P179" s="38"/>
      <c r="Q179" s="38">
        <v>14946.89</v>
      </c>
      <c r="R179" s="38"/>
      <c r="S179" s="38">
        <v>0</v>
      </c>
      <c r="T179" s="38"/>
      <c r="U179" s="38">
        <v>0</v>
      </c>
      <c r="V179" s="38"/>
      <c r="W179" s="38">
        <v>40000</v>
      </c>
      <c r="X179" s="38"/>
      <c r="Y179" s="38">
        <v>0</v>
      </c>
      <c r="Z179" s="38"/>
      <c r="AA179" s="38">
        <v>0</v>
      </c>
      <c r="AB179" s="38"/>
      <c r="AC179" s="3">
        <f t="shared" si="5"/>
        <v>709301.3799999999</v>
      </c>
      <c r="AD179" s="39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3"/>
    </row>
    <row r="180" spans="1:63" s="8" customFormat="1" ht="12">
      <c r="A180" s="38" t="s">
        <v>350</v>
      </c>
      <c r="B180" s="38"/>
      <c r="C180" s="38" t="s">
        <v>545</v>
      </c>
      <c r="D180" s="38"/>
      <c r="E180" s="38">
        <v>92566.55</v>
      </c>
      <c r="F180" s="38"/>
      <c r="G180" s="38">
        <v>13893.21</v>
      </c>
      <c r="H180" s="38"/>
      <c r="I180" s="38">
        <v>32094.04</v>
      </c>
      <c r="J180" s="38"/>
      <c r="K180" s="38">
        <v>36661.12</v>
      </c>
      <c r="L180" s="38"/>
      <c r="M180" s="38">
        <v>8290.56</v>
      </c>
      <c r="N180" s="38"/>
      <c r="O180" s="38">
        <v>12296.11</v>
      </c>
      <c r="P180" s="38"/>
      <c r="Q180" s="38">
        <v>14452.6</v>
      </c>
      <c r="R180" s="38"/>
      <c r="S180" s="38">
        <v>0</v>
      </c>
      <c r="T180" s="38"/>
      <c r="U180" s="38">
        <v>0</v>
      </c>
      <c r="V180" s="38"/>
      <c r="W180" s="38">
        <v>0</v>
      </c>
      <c r="X180" s="38"/>
      <c r="Y180" s="38">
        <v>0</v>
      </c>
      <c r="Z180" s="38"/>
      <c r="AA180" s="38">
        <v>0</v>
      </c>
      <c r="AB180" s="38"/>
      <c r="AC180" s="3">
        <f t="shared" si="5"/>
        <v>210254.19000000003</v>
      </c>
      <c r="AD180" s="39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3"/>
    </row>
    <row r="181" spans="1:29" s="8" customFormat="1" ht="12" hidden="1">
      <c r="A181" s="8" t="s">
        <v>251</v>
      </c>
      <c r="C181" s="8" t="s">
        <v>60</v>
      </c>
      <c r="E181" s="9">
        <v>0</v>
      </c>
      <c r="F181" s="9"/>
      <c r="G181" s="9">
        <v>0</v>
      </c>
      <c r="H181" s="9"/>
      <c r="I181" s="9">
        <v>0</v>
      </c>
      <c r="J181" s="9"/>
      <c r="K181" s="9">
        <v>0</v>
      </c>
      <c r="L181" s="9"/>
      <c r="M181" s="9">
        <v>0</v>
      </c>
      <c r="N181" s="9"/>
      <c r="O181" s="9">
        <v>0</v>
      </c>
      <c r="P181" s="9"/>
      <c r="Q181" s="9">
        <v>0</v>
      </c>
      <c r="R181" s="9"/>
      <c r="S181" s="9">
        <v>0</v>
      </c>
      <c r="T181" s="9"/>
      <c r="U181" s="9">
        <v>0</v>
      </c>
      <c r="V181" s="9"/>
      <c r="W181" s="9">
        <v>0</v>
      </c>
      <c r="X181" s="9"/>
      <c r="Y181" s="9">
        <v>0</v>
      </c>
      <c r="Z181" s="9"/>
      <c r="AA181" s="9">
        <v>0</v>
      </c>
      <c r="AB181" s="9"/>
      <c r="AC181" s="9">
        <f t="shared" si="5"/>
        <v>0</v>
      </c>
    </row>
    <row r="182" spans="1:29" s="8" customFormat="1" ht="12" hidden="1">
      <c r="A182" s="8" t="s">
        <v>252</v>
      </c>
      <c r="C182" s="8" t="s">
        <v>186</v>
      </c>
      <c r="E182" s="9">
        <v>0</v>
      </c>
      <c r="F182" s="9"/>
      <c r="G182" s="9">
        <v>0</v>
      </c>
      <c r="H182" s="9"/>
      <c r="I182" s="9">
        <v>0</v>
      </c>
      <c r="J182" s="9"/>
      <c r="K182" s="9">
        <v>0</v>
      </c>
      <c r="L182" s="9"/>
      <c r="M182" s="9">
        <v>0</v>
      </c>
      <c r="N182" s="9"/>
      <c r="O182" s="9">
        <v>0</v>
      </c>
      <c r="P182" s="9"/>
      <c r="Q182" s="9">
        <v>0</v>
      </c>
      <c r="R182" s="9"/>
      <c r="S182" s="9">
        <v>0</v>
      </c>
      <c r="T182" s="9"/>
      <c r="U182" s="9">
        <v>0</v>
      </c>
      <c r="V182" s="9"/>
      <c r="W182" s="9">
        <v>0</v>
      </c>
      <c r="X182" s="9"/>
      <c r="Y182" s="9">
        <v>0</v>
      </c>
      <c r="Z182" s="9"/>
      <c r="AA182" s="9">
        <v>0</v>
      </c>
      <c r="AB182" s="9"/>
      <c r="AC182" s="9">
        <f aca="true" t="shared" si="6" ref="AC182:AC213">SUM(E182:AA182)</f>
        <v>0</v>
      </c>
    </row>
    <row r="183" spans="1:29" s="8" customFormat="1" ht="12">
      <c r="A183" s="8" t="s">
        <v>162</v>
      </c>
      <c r="C183" s="8" t="s">
        <v>98</v>
      </c>
      <c r="E183" s="9">
        <v>1787913</v>
      </c>
      <c r="F183" s="9"/>
      <c r="G183" s="9">
        <v>0</v>
      </c>
      <c r="H183" s="9"/>
      <c r="I183" s="9">
        <v>392541</v>
      </c>
      <c r="J183" s="9"/>
      <c r="K183" s="9">
        <v>308664</v>
      </c>
      <c r="L183" s="9"/>
      <c r="M183" s="9">
        <v>61664</v>
      </c>
      <c r="N183" s="9"/>
      <c r="O183" s="9">
        <v>13090</v>
      </c>
      <c r="P183" s="9"/>
      <c r="Q183" s="9">
        <v>41201</v>
      </c>
      <c r="R183" s="9"/>
      <c r="S183" s="9">
        <v>0</v>
      </c>
      <c r="T183" s="9"/>
      <c r="U183" s="9">
        <v>0</v>
      </c>
      <c r="V183" s="9"/>
      <c r="W183" s="9">
        <v>80006</v>
      </c>
      <c r="X183" s="9"/>
      <c r="Y183" s="9">
        <v>0</v>
      </c>
      <c r="Z183" s="9"/>
      <c r="AA183" s="9">
        <v>0</v>
      </c>
      <c r="AB183" s="9"/>
      <c r="AC183" s="9">
        <f t="shared" si="6"/>
        <v>2685079</v>
      </c>
    </row>
    <row r="184" spans="1:29" s="8" customFormat="1" ht="12" hidden="1">
      <c r="A184" s="8" t="s">
        <v>255</v>
      </c>
      <c r="C184" s="8" t="s">
        <v>44</v>
      </c>
      <c r="E184" s="9">
        <v>0</v>
      </c>
      <c r="F184" s="9"/>
      <c r="G184" s="9">
        <v>0</v>
      </c>
      <c r="H184" s="9"/>
      <c r="I184" s="9">
        <v>0</v>
      </c>
      <c r="J184" s="9"/>
      <c r="K184" s="9">
        <v>0</v>
      </c>
      <c r="L184" s="9"/>
      <c r="M184" s="9">
        <v>0</v>
      </c>
      <c r="N184" s="9"/>
      <c r="O184" s="9">
        <v>0</v>
      </c>
      <c r="P184" s="9"/>
      <c r="Q184" s="9">
        <v>0</v>
      </c>
      <c r="R184" s="9"/>
      <c r="S184" s="9">
        <v>0</v>
      </c>
      <c r="T184" s="9"/>
      <c r="U184" s="9">
        <v>0</v>
      </c>
      <c r="V184" s="9"/>
      <c r="W184" s="9">
        <v>0</v>
      </c>
      <c r="X184" s="9"/>
      <c r="Y184" s="9">
        <v>0</v>
      </c>
      <c r="Z184" s="9"/>
      <c r="AA184" s="9">
        <v>0</v>
      </c>
      <c r="AB184" s="9"/>
      <c r="AC184" s="9">
        <f t="shared" si="6"/>
        <v>0</v>
      </c>
    </row>
    <row r="185" spans="1:29" s="8" customFormat="1" ht="12" hidden="1">
      <c r="A185" s="8" t="s">
        <v>256</v>
      </c>
      <c r="C185" s="8" t="s">
        <v>63</v>
      </c>
      <c r="E185" s="9">
        <v>0</v>
      </c>
      <c r="F185" s="9"/>
      <c r="G185" s="9">
        <v>0</v>
      </c>
      <c r="H185" s="9"/>
      <c r="I185" s="9">
        <v>0</v>
      </c>
      <c r="J185" s="9"/>
      <c r="K185" s="9">
        <v>0</v>
      </c>
      <c r="L185" s="9"/>
      <c r="M185" s="9">
        <v>0</v>
      </c>
      <c r="N185" s="9"/>
      <c r="O185" s="9">
        <v>0</v>
      </c>
      <c r="P185" s="9"/>
      <c r="Q185" s="9">
        <v>0</v>
      </c>
      <c r="R185" s="9"/>
      <c r="S185" s="9">
        <v>0</v>
      </c>
      <c r="T185" s="9"/>
      <c r="U185" s="9">
        <v>0</v>
      </c>
      <c r="V185" s="9"/>
      <c r="W185" s="9">
        <v>0</v>
      </c>
      <c r="X185" s="9"/>
      <c r="Y185" s="9">
        <v>0</v>
      </c>
      <c r="Z185" s="9"/>
      <c r="AA185" s="9">
        <v>0</v>
      </c>
      <c r="AB185" s="9"/>
      <c r="AC185" s="9">
        <f t="shared" si="6"/>
        <v>0</v>
      </c>
    </row>
    <row r="186" spans="1:29" s="8" customFormat="1" ht="12">
      <c r="A186" s="8" t="s">
        <v>163</v>
      </c>
      <c r="C186" s="8" t="s">
        <v>44</v>
      </c>
      <c r="E186" s="9">
        <v>429905</v>
      </c>
      <c r="F186" s="9"/>
      <c r="G186" s="9">
        <v>118130</v>
      </c>
      <c r="H186" s="9"/>
      <c r="I186" s="9">
        <v>105735</v>
      </c>
      <c r="J186" s="9"/>
      <c r="K186" s="9">
        <v>81156</v>
      </c>
      <c r="L186" s="9"/>
      <c r="M186" s="9">
        <v>8697</v>
      </c>
      <c r="N186" s="9"/>
      <c r="O186" s="9">
        <v>2410</v>
      </c>
      <c r="P186" s="9"/>
      <c r="Q186" s="9">
        <v>0</v>
      </c>
      <c r="R186" s="9"/>
      <c r="S186" s="9">
        <v>0</v>
      </c>
      <c r="T186" s="9"/>
      <c r="U186" s="9">
        <v>0</v>
      </c>
      <c r="V186" s="9"/>
      <c r="W186" s="9">
        <v>0</v>
      </c>
      <c r="X186" s="9"/>
      <c r="Y186" s="9">
        <v>0</v>
      </c>
      <c r="Z186" s="9"/>
      <c r="AA186" s="9">
        <v>0</v>
      </c>
      <c r="AB186" s="9"/>
      <c r="AC186" s="9">
        <f t="shared" si="6"/>
        <v>746033</v>
      </c>
    </row>
    <row r="187" spans="1:29" s="8" customFormat="1" ht="12" hidden="1">
      <c r="A187" s="8" t="s">
        <v>259</v>
      </c>
      <c r="C187" s="8" t="s">
        <v>258</v>
      </c>
      <c r="E187" s="9">
        <v>0</v>
      </c>
      <c r="F187" s="9"/>
      <c r="G187" s="9">
        <v>0</v>
      </c>
      <c r="H187" s="9"/>
      <c r="I187" s="9">
        <v>0</v>
      </c>
      <c r="J187" s="9"/>
      <c r="K187" s="9">
        <v>0</v>
      </c>
      <c r="L187" s="9"/>
      <c r="M187" s="9">
        <v>0</v>
      </c>
      <c r="N187" s="9"/>
      <c r="O187" s="9">
        <v>0</v>
      </c>
      <c r="P187" s="9"/>
      <c r="Q187" s="9">
        <v>0</v>
      </c>
      <c r="R187" s="9"/>
      <c r="S187" s="9">
        <v>0</v>
      </c>
      <c r="T187" s="9"/>
      <c r="U187" s="9">
        <v>0</v>
      </c>
      <c r="V187" s="9"/>
      <c r="W187" s="9">
        <v>0</v>
      </c>
      <c r="X187" s="9"/>
      <c r="Y187" s="9">
        <v>0</v>
      </c>
      <c r="Z187" s="9"/>
      <c r="AA187" s="9">
        <v>0</v>
      </c>
      <c r="AB187" s="9"/>
      <c r="AC187" s="9">
        <f t="shared" si="6"/>
        <v>0</v>
      </c>
    </row>
    <row r="188" spans="1:29" s="8" customFormat="1" ht="12" hidden="1">
      <c r="A188" s="8" t="s">
        <v>260</v>
      </c>
      <c r="C188" s="8" t="s">
        <v>68</v>
      </c>
      <c r="E188" s="9">
        <v>0</v>
      </c>
      <c r="F188" s="9"/>
      <c r="G188" s="9">
        <v>0</v>
      </c>
      <c r="H188" s="9"/>
      <c r="I188" s="9">
        <v>0</v>
      </c>
      <c r="J188" s="9"/>
      <c r="K188" s="9">
        <v>0</v>
      </c>
      <c r="L188" s="9"/>
      <c r="M188" s="9">
        <v>0</v>
      </c>
      <c r="N188" s="9"/>
      <c r="O188" s="9">
        <v>0</v>
      </c>
      <c r="P188" s="9"/>
      <c r="Q188" s="9">
        <v>0</v>
      </c>
      <c r="R188" s="9"/>
      <c r="S188" s="9">
        <v>0</v>
      </c>
      <c r="T188" s="9"/>
      <c r="U188" s="9">
        <v>0</v>
      </c>
      <c r="V188" s="9"/>
      <c r="W188" s="9">
        <v>0</v>
      </c>
      <c r="X188" s="9"/>
      <c r="Y188" s="9">
        <v>0</v>
      </c>
      <c r="Z188" s="9"/>
      <c r="AA188" s="9">
        <v>0</v>
      </c>
      <c r="AB188" s="9"/>
      <c r="AC188" s="9">
        <f t="shared" si="6"/>
        <v>0</v>
      </c>
    </row>
    <row r="189" spans="1:29" s="8" customFormat="1" ht="12" hidden="1">
      <c r="A189" s="8" t="s">
        <v>261</v>
      </c>
      <c r="C189" s="8" t="s">
        <v>23</v>
      </c>
      <c r="E189" s="9">
        <v>0</v>
      </c>
      <c r="F189" s="9"/>
      <c r="G189" s="9">
        <v>0</v>
      </c>
      <c r="H189" s="9"/>
      <c r="I189" s="9">
        <v>0</v>
      </c>
      <c r="J189" s="9"/>
      <c r="K189" s="9">
        <v>0</v>
      </c>
      <c r="L189" s="9"/>
      <c r="M189" s="9">
        <v>0</v>
      </c>
      <c r="N189" s="9"/>
      <c r="O189" s="9">
        <v>0</v>
      </c>
      <c r="P189" s="9"/>
      <c r="Q189" s="9">
        <v>0</v>
      </c>
      <c r="R189" s="9"/>
      <c r="S189" s="9">
        <v>0</v>
      </c>
      <c r="T189" s="9"/>
      <c r="U189" s="9">
        <v>0</v>
      </c>
      <c r="V189" s="9"/>
      <c r="W189" s="9">
        <v>0</v>
      </c>
      <c r="X189" s="9"/>
      <c r="Y189" s="9">
        <v>0</v>
      </c>
      <c r="Z189" s="9"/>
      <c r="AA189" s="9">
        <v>0</v>
      </c>
      <c r="AB189" s="9"/>
      <c r="AC189" s="9">
        <f t="shared" si="6"/>
        <v>0</v>
      </c>
    </row>
    <row r="190" spans="1:29" s="8" customFormat="1" ht="12" hidden="1">
      <c r="A190" s="8" t="s">
        <v>262</v>
      </c>
      <c r="C190" s="8" t="s">
        <v>69</v>
      </c>
      <c r="E190" s="9">
        <v>0</v>
      </c>
      <c r="F190" s="9"/>
      <c r="G190" s="9">
        <v>0</v>
      </c>
      <c r="H190" s="9"/>
      <c r="I190" s="9">
        <v>0</v>
      </c>
      <c r="J190" s="9"/>
      <c r="K190" s="9">
        <v>0</v>
      </c>
      <c r="L190" s="9"/>
      <c r="M190" s="9">
        <v>0</v>
      </c>
      <c r="N190" s="9"/>
      <c r="O190" s="9">
        <v>0</v>
      </c>
      <c r="P190" s="9"/>
      <c r="Q190" s="9">
        <v>0</v>
      </c>
      <c r="R190" s="9"/>
      <c r="S190" s="9">
        <v>0</v>
      </c>
      <c r="T190" s="9"/>
      <c r="U190" s="9">
        <v>0</v>
      </c>
      <c r="V190" s="9"/>
      <c r="W190" s="9">
        <v>0</v>
      </c>
      <c r="X190" s="9"/>
      <c r="Y190" s="9">
        <v>0</v>
      </c>
      <c r="Z190" s="9"/>
      <c r="AA190" s="9">
        <v>0</v>
      </c>
      <c r="AB190" s="9"/>
      <c r="AC190" s="9">
        <f t="shared" si="6"/>
        <v>0</v>
      </c>
    </row>
    <row r="191" spans="1:29" s="8" customFormat="1" ht="12">
      <c r="A191" s="8" t="s">
        <v>164</v>
      </c>
      <c r="C191" s="8" t="s">
        <v>165</v>
      </c>
      <c r="E191" s="9">
        <v>1364096</v>
      </c>
      <c r="F191" s="9"/>
      <c r="G191" s="9">
        <v>0</v>
      </c>
      <c r="H191" s="9"/>
      <c r="I191" s="9">
        <f>7261545-1364096-1319588-70292</f>
        <v>4507569</v>
      </c>
      <c r="J191" s="9"/>
      <c r="K191" s="9">
        <v>1319588</v>
      </c>
      <c r="L191" s="9"/>
      <c r="M191" s="9">
        <v>0</v>
      </c>
      <c r="N191" s="9"/>
      <c r="O191" s="9">
        <v>0</v>
      </c>
      <c r="P191" s="9"/>
      <c r="Q191" s="9">
        <v>70292</v>
      </c>
      <c r="R191" s="9"/>
      <c r="S191" s="9">
        <v>0</v>
      </c>
      <c r="T191" s="9"/>
      <c r="U191" s="9">
        <v>0</v>
      </c>
      <c r="V191" s="9"/>
      <c r="W191" s="9">
        <v>3350000</v>
      </c>
      <c r="X191" s="9"/>
      <c r="Y191" s="9">
        <v>0</v>
      </c>
      <c r="Z191" s="9"/>
      <c r="AA191" s="9">
        <v>0</v>
      </c>
      <c r="AB191" s="9"/>
      <c r="AC191" s="9">
        <f t="shared" si="6"/>
        <v>10611545</v>
      </c>
    </row>
    <row r="192" spans="1:29" s="8" customFormat="1" ht="12" hidden="1">
      <c r="A192" s="8" t="s">
        <v>264</v>
      </c>
      <c r="C192" s="8" t="s">
        <v>16</v>
      </c>
      <c r="E192" s="9">
        <v>0</v>
      </c>
      <c r="F192" s="9"/>
      <c r="G192" s="9">
        <v>0</v>
      </c>
      <c r="H192" s="9"/>
      <c r="I192" s="9">
        <v>0</v>
      </c>
      <c r="J192" s="9"/>
      <c r="K192" s="9">
        <v>0</v>
      </c>
      <c r="L192" s="9"/>
      <c r="M192" s="9">
        <v>0</v>
      </c>
      <c r="N192" s="9"/>
      <c r="O192" s="9">
        <v>0</v>
      </c>
      <c r="P192" s="9"/>
      <c r="Q192" s="9">
        <v>0</v>
      </c>
      <c r="R192" s="9"/>
      <c r="S192" s="9">
        <v>0</v>
      </c>
      <c r="T192" s="9"/>
      <c r="U192" s="9">
        <v>0</v>
      </c>
      <c r="V192" s="9"/>
      <c r="W192" s="9">
        <v>0</v>
      </c>
      <c r="X192" s="9"/>
      <c r="Y192" s="9">
        <v>0</v>
      </c>
      <c r="Z192" s="9"/>
      <c r="AA192" s="9">
        <v>0</v>
      </c>
      <c r="AB192" s="9"/>
      <c r="AC192" s="9">
        <f t="shared" si="6"/>
        <v>0</v>
      </c>
    </row>
    <row r="193" spans="1:63" s="8" customFormat="1" ht="12">
      <c r="A193" s="38" t="s">
        <v>166</v>
      </c>
      <c r="B193" s="38"/>
      <c r="C193" s="38" t="s">
        <v>558</v>
      </c>
      <c r="D193" s="38"/>
      <c r="E193" s="38">
        <v>517346.79</v>
      </c>
      <c r="F193" s="38"/>
      <c r="G193" s="38">
        <v>63974.12</v>
      </c>
      <c r="H193" s="38"/>
      <c r="I193" s="38">
        <v>117950.77</v>
      </c>
      <c r="J193" s="38"/>
      <c r="K193" s="38">
        <v>109909.88</v>
      </c>
      <c r="L193" s="38"/>
      <c r="M193" s="38">
        <v>57275.61</v>
      </c>
      <c r="N193" s="38"/>
      <c r="O193" s="38">
        <v>8511</v>
      </c>
      <c r="P193" s="38"/>
      <c r="Q193" s="38">
        <v>20000</v>
      </c>
      <c r="R193" s="38"/>
      <c r="S193" s="38">
        <v>0</v>
      </c>
      <c r="T193" s="38"/>
      <c r="U193" s="38">
        <v>0</v>
      </c>
      <c r="V193" s="38"/>
      <c r="W193" s="38">
        <v>1176588.14</v>
      </c>
      <c r="X193" s="38"/>
      <c r="Y193" s="38">
        <v>0</v>
      </c>
      <c r="Z193" s="38"/>
      <c r="AA193" s="38">
        <v>3800.6</v>
      </c>
      <c r="AB193" s="38"/>
      <c r="AC193" s="3">
        <f t="shared" si="6"/>
        <v>2075356.9100000001</v>
      </c>
      <c r="AD193" s="39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3"/>
    </row>
    <row r="194" spans="1:36" s="8" customFormat="1" ht="12" hidden="1">
      <c r="A194" s="8" t="s">
        <v>267</v>
      </c>
      <c r="C194" s="8" t="s">
        <v>70</v>
      </c>
      <c r="E194" s="9">
        <v>0</v>
      </c>
      <c r="F194" s="9"/>
      <c r="G194" s="9">
        <v>0</v>
      </c>
      <c r="H194" s="9"/>
      <c r="I194" s="9">
        <v>0</v>
      </c>
      <c r="J194" s="9"/>
      <c r="K194" s="9">
        <v>0</v>
      </c>
      <c r="L194" s="9"/>
      <c r="M194" s="9">
        <v>0</v>
      </c>
      <c r="N194" s="9"/>
      <c r="O194" s="9">
        <v>0</v>
      </c>
      <c r="P194" s="9"/>
      <c r="Q194" s="9">
        <v>0</v>
      </c>
      <c r="R194" s="9"/>
      <c r="S194" s="9">
        <v>0</v>
      </c>
      <c r="T194" s="9"/>
      <c r="U194" s="9">
        <v>0</v>
      </c>
      <c r="V194" s="9"/>
      <c r="W194" s="9">
        <v>0</v>
      </c>
      <c r="X194" s="9"/>
      <c r="Y194" s="9">
        <v>0</v>
      </c>
      <c r="Z194" s="9"/>
      <c r="AA194" s="9">
        <v>0</v>
      </c>
      <c r="AB194" s="9"/>
      <c r="AC194" s="9">
        <f t="shared" si="6"/>
        <v>0</v>
      </c>
      <c r="AE194" s="32"/>
      <c r="AF194" s="32"/>
      <c r="AG194" s="32"/>
      <c r="AH194" s="32"/>
      <c r="AI194" s="32"/>
      <c r="AJ194" s="32"/>
    </row>
    <row r="195" spans="1:29" s="8" customFormat="1" ht="12">
      <c r="A195" s="8" t="s">
        <v>167</v>
      </c>
      <c r="C195" s="8" t="s">
        <v>168</v>
      </c>
      <c r="E195" s="9">
        <v>789449</v>
      </c>
      <c r="F195" s="9"/>
      <c r="G195" s="9">
        <v>261314</v>
      </c>
      <c r="H195" s="9"/>
      <c r="I195" s="9">
        <v>208994</v>
      </c>
      <c r="J195" s="9"/>
      <c r="K195" s="9">
        <v>309381</v>
      </c>
      <c r="L195" s="9"/>
      <c r="M195" s="9">
        <v>43301</v>
      </c>
      <c r="N195" s="9"/>
      <c r="O195" s="9">
        <v>3981</v>
      </c>
      <c r="P195" s="9"/>
      <c r="Q195" s="9">
        <v>56342</v>
      </c>
      <c r="R195" s="9"/>
      <c r="S195" s="9">
        <v>0</v>
      </c>
      <c r="T195" s="9"/>
      <c r="U195" s="9">
        <v>0</v>
      </c>
      <c r="V195" s="9"/>
      <c r="W195" s="9">
        <v>0</v>
      </c>
      <c r="X195" s="9"/>
      <c r="Y195" s="9">
        <v>0</v>
      </c>
      <c r="Z195" s="9"/>
      <c r="AA195" s="9">
        <v>0</v>
      </c>
      <c r="AB195" s="9"/>
      <c r="AC195" s="9">
        <f t="shared" si="6"/>
        <v>1672762</v>
      </c>
    </row>
    <row r="196" spans="1:63" s="8" customFormat="1" ht="12">
      <c r="A196" s="38" t="s">
        <v>169</v>
      </c>
      <c r="B196" s="38"/>
      <c r="C196" s="38" t="s">
        <v>545</v>
      </c>
      <c r="D196" s="38"/>
      <c r="E196" s="38">
        <v>241342.24</v>
      </c>
      <c r="F196" s="38"/>
      <c r="G196" s="38">
        <v>57776.27</v>
      </c>
      <c r="H196" s="38"/>
      <c r="I196" s="38">
        <v>100867.23</v>
      </c>
      <c r="J196" s="38"/>
      <c r="K196" s="38">
        <v>38658.37</v>
      </c>
      <c r="L196" s="38"/>
      <c r="M196" s="38">
        <v>15758.93</v>
      </c>
      <c r="N196" s="38"/>
      <c r="O196" s="38">
        <v>3863.8</v>
      </c>
      <c r="P196" s="38"/>
      <c r="Q196" s="38">
        <v>0</v>
      </c>
      <c r="R196" s="38"/>
      <c r="S196" s="38">
        <v>0</v>
      </c>
      <c r="T196" s="38"/>
      <c r="U196" s="38">
        <v>0</v>
      </c>
      <c r="V196" s="38"/>
      <c r="W196" s="38">
        <v>112560</v>
      </c>
      <c r="X196" s="38"/>
      <c r="Y196" s="38">
        <v>0</v>
      </c>
      <c r="Z196" s="38"/>
      <c r="AA196" s="38">
        <v>0</v>
      </c>
      <c r="AB196" s="38"/>
      <c r="AC196" s="3">
        <f t="shared" si="6"/>
        <v>570826.84</v>
      </c>
      <c r="AD196" s="39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3"/>
    </row>
    <row r="197" spans="1:34" s="8" customFormat="1" ht="12">
      <c r="A197" s="8" t="s">
        <v>170</v>
      </c>
      <c r="C197" s="8" t="s">
        <v>64</v>
      </c>
      <c r="E197" s="9">
        <v>33794</v>
      </c>
      <c r="F197" s="9"/>
      <c r="G197" s="9">
        <v>4729</v>
      </c>
      <c r="H197" s="9"/>
      <c r="I197" s="9">
        <v>21575</v>
      </c>
      <c r="J197" s="9"/>
      <c r="K197" s="9">
        <v>15455</v>
      </c>
      <c r="L197" s="9"/>
      <c r="M197" s="9">
        <v>2847</v>
      </c>
      <c r="N197" s="9"/>
      <c r="O197" s="9">
        <v>0</v>
      </c>
      <c r="P197" s="9"/>
      <c r="Q197" s="9">
        <v>14770</v>
      </c>
      <c r="R197" s="9"/>
      <c r="S197" s="9">
        <v>0</v>
      </c>
      <c r="T197" s="9"/>
      <c r="U197" s="9">
        <v>0</v>
      </c>
      <c r="V197" s="9"/>
      <c r="W197" s="9">
        <v>0</v>
      </c>
      <c r="X197" s="9"/>
      <c r="Y197" s="9">
        <v>0</v>
      </c>
      <c r="Z197" s="9"/>
      <c r="AA197" s="9">
        <v>0</v>
      </c>
      <c r="AB197" s="9"/>
      <c r="AC197" s="9">
        <f t="shared" si="6"/>
        <v>93170</v>
      </c>
      <c r="AH197" s="9"/>
    </row>
    <row r="198" spans="1:34" s="8" customFormat="1" ht="12">
      <c r="A198" s="8" t="s">
        <v>171</v>
      </c>
      <c r="C198" s="8" t="s">
        <v>172</v>
      </c>
      <c r="E198" s="9">
        <v>289670</v>
      </c>
      <c r="F198" s="9"/>
      <c r="G198" s="9">
        <v>61480</v>
      </c>
      <c r="H198" s="9"/>
      <c r="I198" s="9">
        <v>69834</v>
      </c>
      <c r="J198" s="9"/>
      <c r="K198" s="9">
        <v>62520</v>
      </c>
      <c r="L198" s="9"/>
      <c r="M198" s="9">
        <v>17711</v>
      </c>
      <c r="N198" s="9"/>
      <c r="O198" s="9">
        <v>14882</v>
      </c>
      <c r="P198" s="9"/>
      <c r="Q198" s="9">
        <v>2872</v>
      </c>
      <c r="R198" s="9"/>
      <c r="S198" s="9">
        <v>0</v>
      </c>
      <c r="T198" s="9"/>
      <c r="U198" s="9">
        <v>0</v>
      </c>
      <c r="V198" s="9"/>
      <c r="W198" s="9">
        <v>0</v>
      </c>
      <c r="X198" s="9"/>
      <c r="Y198" s="9">
        <v>0</v>
      </c>
      <c r="Z198" s="9"/>
      <c r="AA198" s="9">
        <v>0</v>
      </c>
      <c r="AB198" s="9"/>
      <c r="AC198" s="9">
        <f t="shared" si="6"/>
        <v>518969</v>
      </c>
      <c r="AH198" s="9"/>
    </row>
    <row r="199" spans="1:63" s="8" customFormat="1" ht="12">
      <c r="A199" s="38" t="s">
        <v>173</v>
      </c>
      <c r="B199" s="38"/>
      <c r="C199" s="38" t="s">
        <v>545</v>
      </c>
      <c r="D199" s="38"/>
      <c r="E199" s="38">
        <v>203016.1</v>
      </c>
      <c r="F199" s="38"/>
      <c r="G199" s="38">
        <v>54836.31</v>
      </c>
      <c r="H199" s="38"/>
      <c r="I199" s="38">
        <v>72078.6</v>
      </c>
      <c r="J199" s="38"/>
      <c r="K199" s="38">
        <v>91767.02</v>
      </c>
      <c r="L199" s="38"/>
      <c r="M199" s="38">
        <v>7977.74</v>
      </c>
      <c r="N199" s="38"/>
      <c r="O199" s="38">
        <v>4564.5</v>
      </c>
      <c r="P199" s="38"/>
      <c r="Q199" s="38">
        <v>2555.59</v>
      </c>
      <c r="R199" s="38"/>
      <c r="S199" s="38">
        <v>0</v>
      </c>
      <c r="T199" s="38"/>
      <c r="U199" s="38">
        <v>0</v>
      </c>
      <c r="V199" s="38"/>
      <c r="W199" s="38">
        <v>0</v>
      </c>
      <c r="X199" s="38"/>
      <c r="Y199" s="38">
        <v>0</v>
      </c>
      <c r="Z199" s="38"/>
      <c r="AA199" s="38">
        <v>0</v>
      </c>
      <c r="AB199" s="38"/>
      <c r="AC199" s="3">
        <f t="shared" si="6"/>
        <v>436795.86000000004</v>
      </c>
      <c r="AD199" s="43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2"/>
    </row>
    <row r="200" spans="1:34" s="8" customFormat="1" ht="12">
      <c r="A200" s="8" t="s">
        <v>174</v>
      </c>
      <c r="C200" s="8" t="s">
        <v>175</v>
      </c>
      <c r="E200" s="9">
        <v>239225</v>
      </c>
      <c r="F200" s="9"/>
      <c r="G200" s="9">
        <v>70568</v>
      </c>
      <c r="H200" s="9"/>
      <c r="I200" s="9">
        <v>58592</v>
      </c>
      <c r="J200" s="9"/>
      <c r="K200" s="9">
        <v>54365</v>
      </c>
      <c r="L200" s="9"/>
      <c r="M200" s="9">
        <v>22806</v>
      </c>
      <c r="N200" s="9"/>
      <c r="O200" s="9">
        <v>3319</v>
      </c>
      <c r="P200" s="9"/>
      <c r="Q200" s="9">
        <v>18843</v>
      </c>
      <c r="R200" s="9"/>
      <c r="S200" s="9">
        <v>0</v>
      </c>
      <c r="T200" s="9"/>
      <c r="U200" s="9">
        <v>0</v>
      </c>
      <c r="V200" s="9"/>
      <c r="W200" s="9">
        <v>80000</v>
      </c>
      <c r="X200" s="9"/>
      <c r="Y200" s="9">
        <v>0</v>
      </c>
      <c r="Z200" s="9"/>
      <c r="AA200" s="9">
        <v>0</v>
      </c>
      <c r="AB200" s="9"/>
      <c r="AC200" s="9">
        <f t="shared" si="6"/>
        <v>547718</v>
      </c>
      <c r="AH200" s="9"/>
    </row>
    <row r="201" spans="1:29" s="8" customFormat="1" ht="12" hidden="1">
      <c r="A201" s="8" t="s">
        <v>271</v>
      </c>
      <c r="C201" s="8" t="s">
        <v>49</v>
      </c>
      <c r="E201" s="9">
        <v>0</v>
      </c>
      <c r="F201" s="9"/>
      <c r="G201" s="9">
        <v>0</v>
      </c>
      <c r="H201" s="9"/>
      <c r="I201" s="9">
        <v>0</v>
      </c>
      <c r="J201" s="9"/>
      <c r="K201" s="9">
        <v>0</v>
      </c>
      <c r="L201" s="9"/>
      <c r="M201" s="9">
        <v>0</v>
      </c>
      <c r="N201" s="9"/>
      <c r="O201" s="9">
        <v>0</v>
      </c>
      <c r="P201" s="9"/>
      <c r="Q201" s="9">
        <v>0</v>
      </c>
      <c r="R201" s="9"/>
      <c r="S201" s="9">
        <v>0</v>
      </c>
      <c r="T201" s="9"/>
      <c r="U201" s="9">
        <v>0</v>
      </c>
      <c r="V201" s="9"/>
      <c r="W201" s="9">
        <v>0</v>
      </c>
      <c r="X201" s="9"/>
      <c r="Y201" s="9">
        <v>0</v>
      </c>
      <c r="Z201" s="9"/>
      <c r="AA201" s="9">
        <v>0</v>
      </c>
      <c r="AB201" s="9"/>
      <c r="AC201" s="9">
        <f t="shared" si="6"/>
        <v>0</v>
      </c>
    </row>
    <row r="202" spans="1:29" s="8" customFormat="1" ht="12" hidden="1">
      <c r="A202" s="8" t="s">
        <v>272</v>
      </c>
      <c r="C202" s="8" t="s">
        <v>190</v>
      </c>
      <c r="E202" s="9">
        <v>0</v>
      </c>
      <c r="F202" s="9"/>
      <c r="G202" s="9">
        <v>0</v>
      </c>
      <c r="H202" s="9"/>
      <c r="I202" s="9">
        <v>0</v>
      </c>
      <c r="J202" s="9"/>
      <c r="K202" s="9">
        <v>0</v>
      </c>
      <c r="L202" s="9"/>
      <c r="M202" s="9">
        <v>0</v>
      </c>
      <c r="N202" s="9"/>
      <c r="O202" s="9">
        <v>0</v>
      </c>
      <c r="P202" s="9"/>
      <c r="Q202" s="9">
        <v>0</v>
      </c>
      <c r="R202" s="9"/>
      <c r="S202" s="9">
        <v>0</v>
      </c>
      <c r="T202" s="9"/>
      <c r="U202" s="9">
        <v>0</v>
      </c>
      <c r="V202" s="9"/>
      <c r="W202" s="9">
        <v>0</v>
      </c>
      <c r="X202" s="9"/>
      <c r="Y202" s="9">
        <v>0</v>
      </c>
      <c r="Z202" s="9"/>
      <c r="AA202" s="9">
        <v>0</v>
      </c>
      <c r="AB202" s="9"/>
      <c r="AC202" s="9">
        <f t="shared" si="6"/>
        <v>0</v>
      </c>
    </row>
    <row r="203" spans="1:63" s="8" customFormat="1" ht="12">
      <c r="A203" s="38" t="s">
        <v>525</v>
      </c>
      <c r="B203" s="38"/>
      <c r="C203" s="38" t="s">
        <v>574</v>
      </c>
      <c r="D203" s="38"/>
      <c r="E203" s="38">
        <v>232388.97</v>
      </c>
      <c r="F203" s="38"/>
      <c r="G203" s="38">
        <v>70972.12</v>
      </c>
      <c r="H203" s="38"/>
      <c r="I203" s="38">
        <v>68014.37</v>
      </c>
      <c r="J203" s="38"/>
      <c r="K203" s="38">
        <v>58177.15</v>
      </c>
      <c r="L203" s="38"/>
      <c r="M203" s="38">
        <v>7964.28</v>
      </c>
      <c r="N203" s="38"/>
      <c r="O203" s="38">
        <v>2623.76</v>
      </c>
      <c r="P203" s="38"/>
      <c r="Q203" s="38">
        <v>5083.25</v>
      </c>
      <c r="R203" s="38"/>
      <c r="S203" s="38">
        <v>0</v>
      </c>
      <c r="T203" s="38"/>
      <c r="U203" s="38">
        <v>0</v>
      </c>
      <c r="V203" s="38"/>
      <c r="W203" s="38">
        <v>13000</v>
      </c>
      <c r="X203" s="38"/>
      <c r="Y203" s="38">
        <v>0</v>
      </c>
      <c r="Z203" s="38"/>
      <c r="AA203" s="38">
        <v>0</v>
      </c>
      <c r="AB203" s="38"/>
      <c r="AC203" s="3">
        <f t="shared" si="6"/>
        <v>458223.9</v>
      </c>
      <c r="AD203" s="39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3"/>
    </row>
    <row r="204" spans="1:63" s="8" customFormat="1" ht="12">
      <c r="A204" s="38" t="s">
        <v>176</v>
      </c>
      <c r="B204" s="38"/>
      <c r="C204" s="38" t="s">
        <v>568</v>
      </c>
      <c r="D204" s="38"/>
      <c r="E204" s="38">
        <v>730928.81</v>
      </c>
      <c r="F204" s="38"/>
      <c r="G204" s="38">
        <v>187860.91</v>
      </c>
      <c r="H204" s="38"/>
      <c r="I204" s="38">
        <v>217493.45</v>
      </c>
      <c r="J204" s="38"/>
      <c r="K204" s="38">
        <v>219055.08</v>
      </c>
      <c r="L204" s="38"/>
      <c r="M204" s="38">
        <v>17630.76</v>
      </c>
      <c r="N204" s="38"/>
      <c r="O204" s="38">
        <v>10093.75</v>
      </c>
      <c r="P204" s="38"/>
      <c r="Q204" s="38">
        <v>29362.76</v>
      </c>
      <c r="R204" s="38"/>
      <c r="S204" s="38">
        <v>0</v>
      </c>
      <c r="T204" s="38"/>
      <c r="U204" s="38">
        <v>0</v>
      </c>
      <c r="V204" s="38"/>
      <c r="W204" s="38">
        <v>200376.08</v>
      </c>
      <c r="X204" s="38"/>
      <c r="Y204" s="38">
        <v>0</v>
      </c>
      <c r="Z204" s="38"/>
      <c r="AA204" s="38">
        <v>0</v>
      </c>
      <c r="AB204" s="38"/>
      <c r="AC204" s="3">
        <f t="shared" si="6"/>
        <v>1612801.6000000003</v>
      </c>
      <c r="AD204" s="39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3"/>
    </row>
    <row r="205" spans="1:29" s="8" customFormat="1" ht="12" hidden="1">
      <c r="A205" s="8" t="s">
        <v>275</v>
      </c>
      <c r="C205" s="8" t="s">
        <v>64</v>
      </c>
      <c r="E205" s="9">
        <v>0</v>
      </c>
      <c r="F205" s="9"/>
      <c r="G205" s="9">
        <v>0</v>
      </c>
      <c r="H205" s="9"/>
      <c r="I205" s="9">
        <v>0</v>
      </c>
      <c r="J205" s="9"/>
      <c r="K205" s="9">
        <v>0</v>
      </c>
      <c r="L205" s="9"/>
      <c r="M205" s="9">
        <v>0</v>
      </c>
      <c r="N205" s="9"/>
      <c r="O205" s="9">
        <v>0</v>
      </c>
      <c r="P205" s="9"/>
      <c r="Q205" s="9">
        <v>0</v>
      </c>
      <c r="R205" s="9"/>
      <c r="S205" s="9">
        <v>0</v>
      </c>
      <c r="T205" s="9"/>
      <c r="U205" s="9">
        <v>0</v>
      </c>
      <c r="V205" s="9"/>
      <c r="W205" s="9">
        <v>0</v>
      </c>
      <c r="X205" s="9"/>
      <c r="Y205" s="9">
        <v>0</v>
      </c>
      <c r="Z205" s="9"/>
      <c r="AA205" s="9">
        <v>0</v>
      </c>
      <c r="AB205" s="9"/>
      <c r="AC205" s="9">
        <f t="shared" si="6"/>
        <v>0</v>
      </c>
    </row>
    <row r="206" spans="1:29" s="8" customFormat="1" ht="12" hidden="1">
      <c r="A206" s="8" t="s">
        <v>276</v>
      </c>
      <c r="C206" s="8" t="s">
        <v>182</v>
      </c>
      <c r="E206" s="9">
        <v>0</v>
      </c>
      <c r="F206" s="9"/>
      <c r="G206" s="9">
        <v>0</v>
      </c>
      <c r="H206" s="9"/>
      <c r="I206" s="9">
        <v>0</v>
      </c>
      <c r="J206" s="9"/>
      <c r="K206" s="9">
        <v>0</v>
      </c>
      <c r="L206" s="9"/>
      <c r="M206" s="9">
        <v>0</v>
      </c>
      <c r="N206" s="9"/>
      <c r="O206" s="9">
        <v>0</v>
      </c>
      <c r="P206" s="9"/>
      <c r="Q206" s="9">
        <v>0</v>
      </c>
      <c r="R206" s="9"/>
      <c r="S206" s="9">
        <v>0</v>
      </c>
      <c r="T206" s="9"/>
      <c r="U206" s="9">
        <v>0</v>
      </c>
      <c r="V206" s="9"/>
      <c r="W206" s="9">
        <v>0</v>
      </c>
      <c r="X206" s="9"/>
      <c r="Y206" s="9">
        <v>0</v>
      </c>
      <c r="Z206" s="9"/>
      <c r="AA206" s="9">
        <v>0</v>
      </c>
      <c r="AB206" s="9"/>
      <c r="AC206" s="9">
        <f t="shared" si="6"/>
        <v>0</v>
      </c>
    </row>
    <row r="207" spans="1:29" s="8" customFormat="1" ht="12" hidden="1">
      <c r="A207" s="8" t="s">
        <v>277</v>
      </c>
      <c r="C207" s="8" t="s">
        <v>46</v>
      </c>
      <c r="E207" s="9">
        <v>0</v>
      </c>
      <c r="F207" s="9"/>
      <c r="G207" s="9">
        <v>0</v>
      </c>
      <c r="H207" s="9"/>
      <c r="I207" s="9">
        <v>0</v>
      </c>
      <c r="J207" s="9"/>
      <c r="K207" s="9">
        <v>0</v>
      </c>
      <c r="L207" s="9"/>
      <c r="M207" s="9">
        <v>0</v>
      </c>
      <c r="N207" s="9"/>
      <c r="O207" s="9">
        <v>0</v>
      </c>
      <c r="P207" s="9"/>
      <c r="Q207" s="9">
        <v>0</v>
      </c>
      <c r="R207" s="9"/>
      <c r="S207" s="9">
        <v>0</v>
      </c>
      <c r="T207" s="9"/>
      <c r="U207" s="9">
        <v>0</v>
      </c>
      <c r="V207" s="9"/>
      <c r="W207" s="9">
        <v>0</v>
      </c>
      <c r="X207" s="9"/>
      <c r="Y207" s="9">
        <v>0</v>
      </c>
      <c r="Z207" s="9"/>
      <c r="AA207" s="9">
        <v>0</v>
      </c>
      <c r="AB207" s="9"/>
      <c r="AC207" s="9">
        <f t="shared" si="6"/>
        <v>0</v>
      </c>
    </row>
    <row r="208" spans="1:29" s="8" customFormat="1" ht="12" hidden="1">
      <c r="A208" s="8" t="s">
        <v>278</v>
      </c>
      <c r="C208" s="8" t="s">
        <v>53</v>
      </c>
      <c r="E208" s="9">
        <v>0</v>
      </c>
      <c r="F208" s="9"/>
      <c r="G208" s="9">
        <v>0</v>
      </c>
      <c r="H208" s="9"/>
      <c r="I208" s="9">
        <v>0</v>
      </c>
      <c r="J208" s="9"/>
      <c r="K208" s="9">
        <v>0</v>
      </c>
      <c r="L208" s="9"/>
      <c r="M208" s="9">
        <v>0</v>
      </c>
      <c r="N208" s="9"/>
      <c r="O208" s="9">
        <v>0</v>
      </c>
      <c r="P208" s="9"/>
      <c r="Q208" s="9">
        <v>0</v>
      </c>
      <c r="R208" s="9"/>
      <c r="S208" s="9">
        <v>0</v>
      </c>
      <c r="T208" s="9"/>
      <c r="U208" s="9">
        <v>0</v>
      </c>
      <c r="V208" s="9"/>
      <c r="W208" s="9">
        <v>0</v>
      </c>
      <c r="X208" s="9"/>
      <c r="Y208" s="9">
        <v>0</v>
      </c>
      <c r="Z208" s="9"/>
      <c r="AA208" s="9">
        <v>0</v>
      </c>
      <c r="AB208" s="9"/>
      <c r="AC208" s="9">
        <f t="shared" si="6"/>
        <v>0</v>
      </c>
    </row>
    <row r="209" spans="1:34" s="8" customFormat="1" ht="12">
      <c r="A209" s="8" t="s">
        <v>177</v>
      </c>
      <c r="C209" s="8" t="s">
        <v>63</v>
      </c>
      <c r="E209" s="9">
        <v>62430</v>
      </c>
      <c r="F209" s="9"/>
      <c r="G209" s="9">
        <v>9509</v>
      </c>
      <c r="H209" s="9"/>
      <c r="I209" s="9">
        <v>25938</v>
      </c>
      <c r="J209" s="9"/>
      <c r="K209" s="9">
        <v>41867</v>
      </c>
      <c r="L209" s="9"/>
      <c r="M209" s="9">
        <v>9010</v>
      </c>
      <c r="N209" s="9"/>
      <c r="O209" s="9">
        <v>4733</v>
      </c>
      <c r="P209" s="9"/>
      <c r="Q209" s="9">
        <v>0</v>
      </c>
      <c r="R209" s="9"/>
      <c r="S209" s="9">
        <v>0</v>
      </c>
      <c r="T209" s="9"/>
      <c r="U209" s="9">
        <v>0</v>
      </c>
      <c r="V209" s="9"/>
      <c r="W209" s="9">
        <v>0</v>
      </c>
      <c r="X209" s="9"/>
      <c r="Y209" s="9">
        <v>0</v>
      </c>
      <c r="Z209" s="9"/>
      <c r="AA209" s="9">
        <v>0</v>
      </c>
      <c r="AB209" s="9"/>
      <c r="AC209" s="9">
        <f t="shared" si="6"/>
        <v>153487</v>
      </c>
      <c r="AH209" s="9"/>
    </row>
    <row r="210" spans="1:63" s="8" customFormat="1" ht="12">
      <c r="A210" s="38" t="s">
        <v>352</v>
      </c>
      <c r="B210" s="38"/>
      <c r="C210" s="38" t="s">
        <v>569</v>
      </c>
      <c r="D210" s="38"/>
      <c r="E210" s="38">
        <v>699783.53</v>
      </c>
      <c r="F210" s="38"/>
      <c r="G210" s="38">
        <v>176476.9</v>
      </c>
      <c r="H210" s="38"/>
      <c r="I210" s="38">
        <v>198484.11</v>
      </c>
      <c r="J210" s="38"/>
      <c r="K210" s="38">
        <v>176854.72</v>
      </c>
      <c r="L210" s="38"/>
      <c r="M210" s="38">
        <v>39376.7</v>
      </c>
      <c r="N210" s="38"/>
      <c r="O210" s="38">
        <v>8785</v>
      </c>
      <c r="P210" s="38"/>
      <c r="Q210" s="38">
        <v>28791.28</v>
      </c>
      <c r="R210" s="38"/>
      <c r="S210" s="38">
        <v>0</v>
      </c>
      <c r="T210" s="38"/>
      <c r="U210" s="38">
        <v>0</v>
      </c>
      <c r="V210" s="38"/>
      <c r="W210" s="38">
        <v>50000</v>
      </c>
      <c r="X210" s="38"/>
      <c r="Y210" s="38">
        <v>0</v>
      </c>
      <c r="Z210" s="38"/>
      <c r="AA210" s="38">
        <v>0</v>
      </c>
      <c r="AB210" s="38"/>
      <c r="AC210" s="3">
        <f t="shared" si="6"/>
        <v>1378552.24</v>
      </c>
      <c r="AD210" s="39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3"/>
    </row>
    <row r="211" spans="1:63" s="8" customFormat="1" ht="12">
      <c r="A211" s="38" t="s">
        <v>353</v>
      </c>
      <c r="B211" s="38"/>
      <c r="C211" s="38" t="s">
        <v>573</v>
      </c>
      <c r="D211" s="38"/>
      <c r="E211" s="38">
        <v>126129.7</v>
      </c>
      <c r="F211" s="38"/>
      <c r="G211" s="38">
        <v>28857.28</v>
      </c>
      <c r="H211" s="38"/>
      <c r="I211" s="38">
        <v>33342.76</v>
      </c>
      <c r="J211" s="38"/>
      <c r="K211" s="38">
        <v>35205.27</v>
      </c>
      <c r="L211" s="38"/>
      <c r="M211" s="38">
        <v>5048.14</v>
      </c>
      <c r="N211" s="38"/>
      <c r="O211" s="38">
        <v>845</v>
      </c>
      <c r="P211" s="38"/>
      <c r="Q211" s="38">
        <v>12390</v>
      </c>
      <c r="R211" s="38"/>
      <c r="S211" s="38">
        <v>0</v>
      </c>
      <c r="T211" s="38"/>
      <c r="U211" s="38">
        <v>0</v>
      </c>
      <c r="V211" s="38"/>
      <c r="W211" s="38">
        <v>15000</v>
      </c>
      <c r="X211" s="38"/>
      <c r="Y211" s="38">
        <v>0</v>
      </c>
      <c r="Z211" s="38"/>
      <c r="AA211" s="38">
        <v>0</v>
      </c>
      <c r="AB211" s="38"/>
      <c r="AC211" s="3">
        <f t="shared" si="6"/>
        <v>256818.15</v>
      </c>
      <c r="AD211" s="39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3"/>
    </row>
    <row r="212" spans="1:29" s="8" customFormat="1" ht="12" hidden="1">
      <c r="A212" s="8" t="s">
        <v>282</v>
      </c>
      <c r="C212" s="8" t="s">
        <v>72</v>
      </c>
      <c r="E212" s="9">
        <v>0</v>
      </c>
      <c r="F212" s="9"/>
      <c r="G212" s="9">
        <v>0</v>
      </c>
      <c r="H212" s="9"/>
      <c r="I212" s="9">
        <v>0</v>
      </c>
      <c r="J212" s="9"/>
      <c r="K212" s="9">
        <v>0</v>
      </c>
      <c r="L212" s="9"/>
      <c r="M212" s="9">
        <v>0</v>
      </c>
      <c r="N212" s="9"/>
      <c r="O212" s="9">
        <v>0</v>
      </c>
      <c r="P212" s="9"/>
      <c r="Q212" s="9">
        <v>0</v>
      </c>
      <c r="R212" s="9"/>
      <c r="S212" s="9">
        <v>0</v>
      </c>
      <c r="T212" s="9"/>
      <c r="U212" s="9">
        <v>0</v>
      </c>
      <c r="V212" s="9"/>
      <c r="W212" s="9">
        <v>0</v>
      </c>
      <c r="X212" s="9"/>
      <c r="Y212" s="9">
        <v>0</v>
      </c>
      <c r="Z212" s="9"/>
      <c r="AA212" s="9">
        <v>0</v>
      </c>
      <c r="AB212" s="9"/>
      <c r="AC212" s="9">
        <f t="shared" si="6"/>
        <v>0</v>
      </c>
    </row>
    <row r="213" spans="1:29" s="8" customFormat="1" ht="12" hidden="1">
      <c r="A213" s="8" t="s">
        <v>283</v>
      </c>
      <c r="C213" s="8" t="s">
        <v>65</v>
      </c>
      <c r="E213" s="9">
        <v>0</v>
      </c>
      <c r="F213" s="9"/>
      <c r="G213" s="9">
        <v>0</v>
      </c>
      <c r="H213" s="9"/>
      <c r="I213" s="9">
        <v>0</v>
      </c>
      <c r="J213" s="9"/>
      <c r="K213" s="9">
        <v>0</v>
      </c>
      <c r="L213" s="9"/>
      <c r="M213" s="9">
        <v>0</v>
      </c>
      <c r="N213" s="9"/>
      <c r="O213" s="9">
        <v>0</v>
      </c>
      <c r="P213" s="9"/>
      <c r="Q213" s="9">
        <v>0</v>
      </c>
      <c r="R213" s="9"/>
      <c r="S213" s="9">
        <v>0</v>
      </c>
      <c r="T213" s="9"/>
      <c r="U213" s="9">
        <v>0</v>
      </c>
      <c r="V213" s="9"/>
      <c r="W213" s="9">
        <v>0</v>
      </c>
      <c r="X213" s="9"/>
      <c r="Y213" s="9">
        <v>0</v>
      </c>
      <c r="Z213" s="9"/>
      <c r="AA213" s="9">
        <v>0</v>
      </c>
      <c r="AB213" s="9"/>
      <c r="AC213" s="9">
        <f t="shared" si="6"/>
        <v>0</v>
      </c>
    </row>
    <row r="214" spans="1:63" s="8" customFormat="1" ht="12">
      <c r="A214" s="38" t="s">
        <v>526</v>
      </c>
      <c r="B214" s="38"/>
      <c r="C214" s="38" t="s">
        <v>597</v>
      </c>
      <c r="D214" s="38"/>
      <c r="E214" s="38">
        <v>487051.82</v>
      </c>
      <c r="F214" s="38"/>
      <c r="G214" s="38">
        <v>170444.33</v>
      </c>
      <c r="H214" s="38"/>
      <c r="I214" s="38">
        <v>84278.91</v>
      </c>
      <c r="J214" s="38"/>
      <c r="K214" s="38">
        <v>129648.77</v>
      </c>
      <c r="L214" s="38"/>
      <c r="M214" s="38">
        <v>31767.13</v>
      </c>
      <c r="N214" s="38"/>
      <c r="O214" s="38">
        <v>2218.9</v>
      </c>
      <c r="P214" s="38"/>
      <c r="Q214" s="38">
        <v>26278.06</v>
      </c>
      <c r="R214" s="38"/>
      <c r="S214" s="38">
        <v>0</v>
      </c>
      <c r="T214" s="38"/>
      <c r="U214" s="38">
        <v>0</v>
      </c>
      <c r="V214" s="38"/>
      <c r="W214" s="38">
        <v>0</v>
      </c>
      <c r="X214" s="38"/>
      <c r="Y214" s="38">
        <v>0</v>
      </c>
      <c r="Z214" s="38"/>
      <c r="AA214" s="38">
        <v>0</v>
      </c>
      <c r="AB214" s="38"/>
      <c r="AC214" s="3">
        <f aca="true" t="shared" si="7" ref="AC214:AC245">SUM(E214:AA214)</f>
        <v>931687.9200000002</v>
      </c>
      <c r="AD214" s="39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3"/>
    </row>
    <row r="215" spans="1:34" s="8" customFormat="1" ht="12">
      <c r="A215" s="8" t="s">
        <v>386</v>
      </c>
      <c r="C215" s="8" t="s">
        <v>23</v>
      </c>
      <c r="E215" s="9">
        <v>1080649</v>
      </c>
      <c r="F215" s="9"/>
      <c r="G215" s="9">
        <v>273964</v>
      </c>
      <c r="H215" s="9"/>
      <c r="I215" s="9">
        <v>384115</v>
      </c>
      <c r="J215" s="9"/>
      <c r="K215" s="9">
        <v>286028</v>
      </c>
      <c r="L215" s="9"/>
      <c r="M215" s="9">
        <v>42719</v>
      </c>
      <c r="N215" s="9"/>
      <c r="O215" s="9">
        <v>80534</v>
      </c>
      <c r="P215" s="9"/>
      <c r="Q215" s="9">
        <v>2483</v>
      </c>
      <c r="R215" s="9"/>
      <c r="S215" s="9">
        <v>0</v>
      </c>
      <c r="T215" s="9"/>
      <c r="U215" s="9">
        <v>0</v>
      </c>
      <c r="V215" s="9"/>
      <c r="W215" s="9">
        <v>90000</v>
      </c>
      <c r="X215" s="9"/>
      <c r="Y215" s="9">
        <v>0</v>
      </c>
      <c r="Z215" s="9"/>
      <c r="AA215" s="9">
        <v>0</v>
      </c>
      <c r="AB215" s="9"/>
      <c r="AC215" s="9">
        <f t="shared" si="7"/>
        <v>2240492</v>
      </c>
      <c r="AH215" s="9"/>
    </row>
    <row r="216" spans="1:34" s="8" customFormat="1" ht="12">
      <c r="A216" s="8" t="s">
        <v>181</v>
      </c>
      <c r="C216" s="8" t="s">
        <v>182</v>
      </c>
      <c r="E216" s="9">
        <v>393447</v>
      </c>
      <c r="F216" s="9"/>
      <c r="G216" s="9">
        <v>109802</v>
      </c>
      <c r="H216" s="9"/>
      <c r="I216" s="9">
        <v>179842</v>
      </c>
      <c r="J216" s="9"/>
      <c r="K216" s="9">
        <v>58770</v>
      </c>
      <c r="L216" s="9"/>
      <c r="M216" s="9">
        <v>19716</v>
      </c>
      <c r="N216" s="9"/>
      <c r="O216" s="9">
        <v>1512</v>
      </c>
      <c r="P216" s="9"/>
      <c r="Q216" s="9">
        <v>0</v>
      </c>
      <c r="R216" s="9"/>
      <c r="S216" s="9">
        <v>0</v>
      </c>
      <c r="T216" s="9"/>
      <c r="U216" s="9">
        <v>0</v>
      </c>
      <c r="V216" s="9"/>
      <c r="W216" s="9">
        <v>0</v>
      </c>
      <c r="X216" s="9"/>
      <c r="Y216" s="9">
        <v>0</v>
      </c>
      <c r="Z216" s="9"/>
      <c r="AA216" s="9">
        <v>0</v>
      </c>
      <c r="AB216" s="9"/>
      <c r="AC216" s="9">
        <f t="shared" si="7"/>
        <v>763089</v>
      </c>
      <c r="AH216" s="9"/>
    </row>
    <row r="217" spans="1:29" s="8" customFormat="1" ht="12" hidden="1">
      <c r="A217" s="8" t="s">
        <v>286</v>
      </c>
      <c r="C217" s="8" t="s">
        <v>71</v>
      </c>
      <c r="E217" s="9">
        <v>0</v>
      </c>
      <c r="F217" s="9"/>
      <c r="G217" s="9">
        <v>0</v>
      </c>
      <c r="H217" s="9"/>
      <c r="I217" s="9">
        <v>0</v>
      </c>
      <c r="J217" s="9"/>
      <c r="K217" s="9">
        <v>0</v>
      </c>
      <c r="L217" s="9"/>
      <c r="M217" s="9">
        <v>0</v>
      </c>
      <c r="N217" s="9"/>
      <c r="O217" s="9">
        <v>0</v>
      </c>
      <c r="P217" s="9"/>
      <c r="Q217" s="9">
        <v>0</v>
      </c>
      <c r="R217" s="9"/>
      <c r="S217" s="9">
        <v>0</v>
      </c>
      <c r="T217" s="9"/>
      <c r="U217" s="9">
        <v>0</v>
      </c>
      <c r="V217" s="9"/>
      <c r="W217" s="9">
        <v>0</v>
      </c>
      <c r="X217" s="9"/>
      <c r="Y217" s="9">
        <v>0</v>
      </c>
      <c r="Z217" s="9"/>
      <c r="AA217" s="9">
        <v>0</v>
      </c>
      <c r="AB217" s="9"/>
      <c r="AC217" s="9">
        <f t="shared" si="7"/>
        <v>0</v>
      </c>
    </row>
    <row r="218" spans="1:29" s="8" customFormat="1" ht="12" hidden="1">
      <c r="A218" s="8" t="s">
        <v>287</v>
      </c>
      <c r="C218" s="8" t="s">
        <v>48</v>
      </c>
      <c r="E218" s="9">
        <v>0</v>
      </c>
      <c r="F218" s="9"/>
      <c r="G218" s="9">
        <v>0</v>
      </c>
      <c r="H218" s="9"/>
      <c r="I218" s="9">
        <v>0</v>
      </c>
      <c r="J218" s="9"/>
      <c r="K218" s="9">
        <v>0</v>
      </c>
      <c r="L218" s="9"/>
      <c r="M218" s="9">
        <v>0</v>
      </c>
      <c r="N218" s="9"/>
      <c r="O218" s="9">
        <v>0</v>
      </c>
      <c r="P218" s="9"/>
      <c r="Q218" s="9">
        <v>0</v>
      </c>
      <c r="R218" s="9"/>
      <c r="S218" s="9">
        <v>0</v>
      </c>
      <c r="T218" s="9"/>
      <c r="U218" s="9">
        <v>0</v>
      </c>
      <c r="V218" s="9"/>
      <c r="W218" s="9">
        <v>0</v>
      </c>
      <c r="X218" s="9"/>
      <c r="Y218" s="9">
        <v>0</v>
      </c>
      <c r="Z218" s="9"/>
      <c r="AA218" s="9">
        <v>0</v>
      </c>
      <c r="AB218" s="9"/>
      <c r="AC218" s="9">
        <f t="shared" si="7"/>
        <v>0</v>
      </c>
    </row>
    <row r="219" spans="1:63" s="8" customFormat="1" ht="12">
      <c r="A219" s="38" t="s">
        <v>527</v>
      </c>
      <c r="B219" s="38"/>
      <c r="C219" s="38" t="s">
        <v>575</v>
      </c>
      <c r="D219" s="38"/>
      <c r="E219" s="38">
        <v>213299.52</v>
      </c>
      <c r="F219" s="38"/>
      <c r="G219" s="38">
        <v>33624.8</v>
      </c>
      <c r="H219" s="38"/>
      <c r="I219" s="38">
        <v>51444.35</v>
      </c>
      <c r="J219" s="38"/>
      <c r="K219" s="38">
        <v>80099.42</v>
      </c>
      <c r="L219" s="38"/>
      <c r="M219" s="38">
        <v>8213.22</v>
      </c>
      <c r="N219" s="38"/>
      <c r="O219" s="38">
        <v>3471.15</v>
      </c>
      <c r="P219" s="38"/>
      <c r="Q219" s="38">
        <v>4956.26</v>
      </c>
      <c r="R219" s="38"/>
      <c r="S219" s="38">
        <v>25000</v>
      </c>
      <c r="T219" s="38"/>
      <c r="U219" s="38">
        <v>55161.25</v>
      </c>
      <c r="V219" s="38"/>
      <c r="W219" s="38">
        <v>0</v>
      </c>
      <c r="X219" s="38"/>
      <c r="Y219" s="38">
        <v>0</v>
      </c>
      <c r="Z219" s="38"/>
      <c r="AA219" s="38">
        <v>193.72</v>
      </c>
      <c r="AB219" s="38"/>
      <c r="AC219" s="3">
        <f t="shared" si="7"/>
        <v>475463.68999999994</v>
      </c>
      <c r="AD219" s="39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3"/>
    </row>
    <row r="220" spans="1:29" s="8" customFormat="1" ht="12" hidden="1">
      <c r="A220" s="8" t="s">
        <v>289</v>
      </c>
      <c r="C220" s="8" t="s">
        <v>113</v>
      </c>
      <c r="E220" s="9">
        <v>0</v>
      </c>
      <c r="F220" s="9"/>
      <c r="G220" s="9">
        <v>0</v>
      </c>
      <c r="H220" s="9"/>
      <c r="I220" s="9">
        <v>0</v>
      </c>
      <c r="J220" s="9"/>
      <c r="K220" s="9">
        <v>0</v>
      </c>
      <c r="L220" s="9"/>
      <c r="M220" s="9">
        <v>0</v>
      </c>
      <c r="N220" s="9"/>
      <c r="O220" s="9">
        <v>0</v>
      </c>
      <c r="P220" s="9"/>
      <c r="Q220" s="9">
        <v>0</v>
      </c>
      <c r="R220" s="9"/>
      <c r="S220" s="9">
        <v>0</v>
      </c>
      <c r="T220" s="9"/>
      <c r="U220" s="9">
        <v>0</v>
      </c>
      <c r="V220" s="9"/>
      <c r="W220" s="9">
        <v>0</v>
      </c>
      <c r="X220" s="9"/>
      <c r="Y220" s="9">
        <v>0</v>
      </c>
      <c r="Z220" s="9"/>
      <c r="AA220" s="9">
        <v>0</v>
      </c>
      <c r="AB220" s="9"/>
      <c r="AC220" s="9">
        <f t="shared" si="7"/>
        <v>0</v>
      </c>
    </row>
    <row r="221" spans="1:34" s="8" customFormat="1" ht="12">
      <c r="A221" s="8" t="s">
        <v>183</v>
      </c>
      <c r="C221" s="8" t="s">
        <v>172</v>
      </c>
      <c r="E221" s="9">
        <v>415605</v>
      </c>
      <c r="F221" s="9"/>
      <c r="G221" s="9">
        <v>92353</v>
      </c>
      <c r="H221" s="9"/>
      <c r="I221" s="9">
        <v>103981</v>
      </c>
      <c r="J221" s="9"/>
      <c r="K221" s="9">
        <v>146294</v>
      </c>
      <c r="L221" s="9"/>
      <c r="M221" s="9">
        <v>13283</v>
      </c>
      <c r="N221" s="9"/>
      <c r="O221" s="9">
        <v>4383</v>
      </c>
      <c r="P221" s="9"/>
      <c r="Q221" s="9">
        <v>148824</v>
      </c>
      <c r="R221" s="9"/>
      <c r="S221" s="9">
        <v>0</v>
      </c>
      <c r="T221" s="9"/>
      <c r="U221" s="9">
        <v>0</v>
      </c>
      <c r="V221" s="9"/>
      <c r="W221" s="9">
        <v>0</v>
      </c>
      <c r="X221" s="9"/>
      <c r="Y221" s="9">
        <v>0</v>
      </c>
      <c r="Z221" s="9"/>
      <c r="AA221" s="9">
        <v>0</v>
      </c>
      <c r="AB221" s="9"/>
      <c r="AC221" s="9">
        <f t="shared" si="7"/>
        <v>924723</v>
      </c>
      <c r="AH221" s="9"/>
    </row>
    <row r="222" spans="1:63" s="8" customFormat="1" ht="12">
      <c r="A222" s="38" t="s">
        <v>389</v>
      </c>
      <c r="B222" s="38"/>
      <c r="C222" s="38" t="s">
        <v>580</v>
      </c>
      <c r="D222" s="38"/>
      <c r="E222" s="38">
        <v>139550.75</v>
      </c>
      <c r="F222" s="38"/>
      <c r="G222" s="38">
        <v>21182.32</v>
      </c>
      <c r="H222" s="38"/>
      <c r="I222" s="38">
        <v>46293.86</v>
      </c>
      <c r="J222" s="38"/>
      <c r="K222" s="38">
        <v>43275.27</v>
      </c>
      <c r="L222" s="38"/>
      <c r="M222" s="38">
        <v>3668.15</v>
      </c>
      <c r="N222" s="38"/>
      <c r="O222" s="38">
        <v>862</v>
      </c>
      <c r="P222" s="38"/>
      <c r="Q222" s="38">
        <v>8920.7</v>
      </c>
      <c r="R222" s="38"/>
      <c r="S222" s="38">
        <v>0</v>
      </c>
      <c r="T222" s="38"/>
      <c r="U222" s="38">
        <v>0</v>
      </c>
      <c r="V222" s="38"/>
      <c r="W222" s="38">
        <v>0</v>
      </c>
      <c r="X222" s="38"/>
      <c r="Y222" s="38">
        <v>0</v>
      </c>
      <c r="Z222" s="38"/>
      <c r="AA222" s="38">
        <v>0</v>
      </c>
      <c r="AB222" s="38"/>
      <c r="AC222" s="3">
        <f t="shared" si="7"/>
        <v>263753.05</v>
      </c>
      <c r="AD222" s="39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3"/>
    </row>
    <row r="223" spans="1:29" s="8" customFormat="1" ht="12" hidden="1">
      <c r="A223" s="8" t="s">
        <v>291</v>
      </c>
      <c r="C223" s="8" t="s">
        <v>47</v>
      </c>
      <c r="E223" s="9">
        <v>0</v>
      </c>
      <c r="F223" s="9"/>
      <c r="G223" s="9">
        <v>0</v>
      </c>
      <c r="H223" s="9"/>
      <c r="I223" s="9">
        <v>0</v>
      </c>
      <c r="J223" s="9"/>
      <c r="K223" s="9">
        <v>0</v>
      </c>
      <c r="L223" s="9"/>
      <c r="M223" s="9">
        <v>0</v>
      </c>
      <c r="N223" s="9"/>
      <c r="O223" s="9">
        <v>0</v>
      </c>
      <c r="P223" s="9"/>
      <c r="Q223" s="9">
        <v>0</v>
      </c>
      <c r="R223" s="9"/>
      <c r="S223" s="9">
        <v>0</v>
      </c>
      <c r="T223" s="9"/>
      <c r="U223" s="9">
        <v>0</v>
      </c>
      <c r="V223" s="9"/>
      <c r="W223" s="9">
        <v>0</v>
      </c>
      <c r="X223" s="9"/>
      <c r="Y223" s="9">
        <v>0</v>
      </c>
      <c r="Z223" s="9"/>
      <c r="AA223" s="9">
        <v>0</v>
      </c>
      <c r="AB223" s="9"/>
      <c r="AC223" s="9">
        <f t="shared" si="7"/>
        <v>0</v>
      </c>
    </row>
    <row r="224" spans="1:29" s="8" customFormat="1" ht="12" hidden="1">
      <c r="A224" s="8" t="s">
        <v>292</v>
      </c>
      <c r="C224" s="8" t="s">
        <v>14</v>
      </c>
      <c r="E224" s="9">
        <v>0</v>
      </c>
      <c r="F224" s="9"/>
      <c r="G224" s="9">
        <v>0</v>
      </c>
      <c r="H224" s="9"/>
      <c r="I224" s="9">
        <v>0</v>
      </c>
      <c r="J224" s="9"/>
      <c r="K224" s="9">
        <v>0</v>
      </c>
      <c r="L224" s="9"/>
      <c r="M224" s="9">
        <v>0</v>
      </c>
      <c r="N224" s="9"/>
      <c r="O224" s="9">
        <v>0</v>
      </c>
      <c r="P224" s="9"/>
      <c r="Q224" s="9">
        <v>0</v>
      </c>
      <c r="R224" s="9"/>
      <c r="S224" s="9">
        <v>0</v>
      </c>
      <c r="T224" s="9"/>
      <c r="U224" s="9">
        <v>0</v>
      </c>
      <c r="V224" s="9"/>
      <c r="W224" s="9">
        <v>0</v>
      </c>
      <c r="X224" s="9"/>
      <c r="Y224" s="9">
        <v>0</v>
      </c>
      <c r="Z224" s="9"/>
      <c r="AA224" s="9">
        <v>0</v>
      </c>
      <c r="AB224" s="9"/>
      <c r="AC224" s="9">
        <f t="shared" si="7"/>
        <v>0</v>
      </c>
    </row>
    <row r="225" spans="1:63" s="8" customFormat="1" ht="12">
      <c r="A225" s="38" t="s">
        <v>185</v>
      </c>
      <c r="B225" s="38"/>
      <c r="C225" s="38" t="s">
        <v>571</v>
      </c>
      <c r="D225" s="38"/>
      <c r="E225" s="38">
        <v>236964.74</v>
      </c>
      <c r="F225" s="38"/>
      <c r="G225" s="38">
        <v>114928.8</v>
      </c>
      <c r="H225" s="38"/>
      <c r="I225" s="38">
        <v>50920.43</v>
      </c>
      <c r="J225" s="38"/>
      <c r="K225" s="38">
        <v>67117.26</v>
      </c>
      <c r="L225" s="38"/>
      <c r="M225" s="38">
        <v>19155.14</v>
      </c>
      <c r="N225" s="38"/>
      <c r="O225" s="38">
        <v>1300.2</v>
      </c>
      <c r="P225" s="38"/>
      <c r="Q225" s="38">
        <v>13909.7</v>
      </c>
      <c r="R225" s="38"/>
      <c r="S225" s="38">
        <v>0</v>
      </c>
      <c r="T225" s="38"/>
      <c r="U225" s="38">
        <v>0</v>
      </c>
      <c r="V225" s="38"/>
      <c r="W225" s="38">
        <v>0</v>
      </c>
      <c r="X225" s="38"/>
      <c r="Y225" s="38">
        <v>0</v>
      </c>
      <c r="Z225" s="38"/>
      <c r="AA225" s="38">
        <v>0</v>
      </c>
      <c r="AB225" s="38"/>
      <c r="AC225" s="3">
        <f t="shared" si="7"/>
        <v>504296.27</v>
      </c>
      <c r="AD225" s="39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3"/>
    </row>
    <row r="226" spans="1:63" s="8" customFormat="1" ht="12">
      <c r="A226" s="38" t="s">
        <v>187</v>
      </c>
      <c r="B226" s="38"/>
      <c r="C226" s="38" t="s">
        <v>584</v>
      </c>
      <c r="D226" s="38"/>
      <c r="E226" s="38">
        <v>277014.28</v>
      </c>
      <c r="F226" s="38"/>
      <c r="G226" s="38">
        <v>82170.19</v>
      </c>
      <c r="H226" s="38"/>
      <c r="I226" s="38">
        <v>99370.33</v>
      </c>
      <c r="J226" s="38"/>
      <c r="K226" s="38">
        <v>96620.06</v>
      </c>
      <c r="L226" s="38"/>
      <c r="M226" s="38">
        <v>25732.54</v>
      </c>
      <c r="N226" s="38"/>
      <c r="O226" s="38">
        <v>9275.91</v>
      </c>
      <c r="P226" s="38"/>
      <c r="Q226" s="38">
        <v>24358.2</v>
      </c>
      <c r="R226" s="38"/>
      <c r="S226" s="38">
        <v>0</v>
      </c>
      <c r="T226" s="38"/>
      <c r="U226" s="38">
        <v>0</v>
      </c>
      <c r="V226" s="38"/>
      <c r="W226" s="38">
        <v>0</v>
      </c>
      <c r="X226" s="38"/>
      <c r="Y226" s="38">
        <v>0</v>
      </c>
      <c r="Z226" s="38"/>
      <c r="AA226" s="38">
        <v>0</v>
      </c>
      <c r="AB226" s="38"/>
      <c r="AC226" s="3">
        <f t="shared" si="7"/>
        <v>614541.5100000001</v>
      </c>
      <c r="AD226" s="39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3"/>
    </row>
    <row r="227" spans="1:34" s="8" customFormat="1" ht="12">
      <c r="A227" s="8" t="s">
        <v>188</v>
      </c>
      <c r="C227" s="8" t="s">
        <v>48</v>
      </c>
      <c r="E227" s="9">
        <v>443915</v>
      </c>
      <c r="F227" s="9"/>
      <c r="G227" s="9">
        <f>63900+63094+100</f>
        <v>127094</v>
      </c>
      <c r="H227" s="9"/>
      <c r="I227" s="9">
        <f>2006+7585+4372+9175+194+27577+5482</f>
        <v>56391</v>
      </c>
      <c r="J227" s="9"/>
      <c r="K227" s="9">
        <f>79290+10999+20483+29339+104+1213</f>
        <v>141428</v>
      </c>
      <c r="L227" s="9"/>
      <c r="M227" s="9">
        <f>1898+24</f>
        <v>1922</v>
      </c>
      <c r="N227" s="9"/>
      <c r="O227" s="9">
        <f>6573+379</f>
        <v>6952</v>
      </c>
      <c r="P227" s="9"/>
      <c r="Q227" s="9">
        <v>15153</v>
      </c>
      <c r="R227" s="9"/>
      <c r="S227" s="9">
        <v>0</v>
      </c>
      <c r="T227" s="9"/>
      <c r="U227" s="9">
        <v>0</v>
      </c>
      <c r="V227" s="9"/>
      <c r="W227" s="9">
        <v>0</v>
      </c>
      <c r="X227" s="9"/>
      <c r="Y227" s="9">
        <v>0</v>
      </c>
      <c r="Z227" s="9"/>
      <c r="AA227" s="9">
        <v>0</v>
      </c>
      <c r="AB227" s="9"/>
      <c r="AC227" s="9">
        <f t="shared" si="7"/>
        <v>792855</v>
      </c>
      <c r="AH227" s="9"/>
    </row>
    <row r="228" spans="1:29" s="8" customFormat="1" ht="12" hidden="1">
      <c r="A228" s="8" t="s">
        <v>297</v>
      </c>
      <c r="C228" s="8" t="s">
        <v>45</v>
      </c>
      <c r="E228" s="9">
        <v>0</v>
      </c>
      <c r="F228" s="9"/>
      <c r="G228" s="9">
        <v>0</v>
      </c>
      <c r="H228" s="9"/>
      <c r="I228" s="9">
        <v>0</v>
      </c>
      <c r="J228" s="9"/>
      <c r="K228" s="9">
        <v>0</v>
      </c>
      <c r="L228" s="9"/>
      <c r="M228" s="9">
        <v>0</v>
      </c>
      <c r="N228" s="9"/>
      <c r="O228" s="9">
        <v>0</v>
      </c>
      <c r="P228" s="9"/>
      <c r="Q228" s="9">
        <v>0</v>
      </c>
      <c r="R228" s="9"/>
      <c r="S228" s="9">
        <v>0</v>
      </c>
      <c r="T228" s="9"/>
      <c r="U228" s="9">
        <v>0</v>
      </c>
      <c r="V228" s="9"/>
      <c r="W228" s="9">
        <v>0</v>
      </c>
      <c r="X228" s="9"/>
      <c r="Y228" s="9">
        <v>0</v>
      </c>
      <c r="Z228" s="9"/>
      <c r="AA228" s="9">
        <v>0</v>
      </c>
      <c r="AB228" s="9"/>
      <c r="AC228" s="9">
        <f t="shared" si="7"/>
        <v>0</v>
      </c>
    </row>
    <row r="229" spans="1:29" s="8" customFormat="1" ht="12" hidden="1">
      <c r="A229" s="8" t="s">
        <v>298</v>
      </c>
      <c r="C229" s="8" t="s">
        <v>186</v>
      </c>
      <c r="E229" s="9">
        <v>0</v>
      </c>
      <c r="F229" s="9"/>
      <c r="G229" s="9">
        <v>0</v>
      </c>
      <c r="H229" s="9"/>
      <c r="I229" s="9">
        <v>0</v>
      </c>
      <c r="J229" s="9"/>
      <c r="K229" s="9">
        <v>0</v>
      </c>
      <c r="L229" s="9"/>
      <c r="M229" s="9">
        <v>0</v>
      </c>
      <c r="N229" s="9"/>
      <c r="O229" s="9">
        <v>0</v>
      </c>
      <c r="P229" s="9"/>
      <c r="Q229" s="9">
        <v>0</v>
      </c>
      <c r="R229" s="9"/>
      <c r="S229" s="9">
        <v>0</v>
      </c>
      <c r="T229" s="9"/>
      <c r="U229" s="9">
        <v>0</v>
      </c>
      <c r="V229" s="9"/>
      <c r="W229" s="9">
        <v>0</v>
      </c>
      <c r="X229" s="9"/>
      <c r="Y229" s="9">
        <v>0</v>
      </c>
      <c r="Z229" s="9"/>
      <c r="AA229" s="9">
        <v>0</v>
      </c>
      <c r="AB229" s="9"/>
      <c r="AC229" s="9">
        <f t="shared" si="7"/>
        <v>0</v>
      </c>
    </row>
    <row r="230" spans="1:63" s="8" customFormat="1" ht="12">
      <c r="A230" s="38" t="s">
        <v>189</v>
      </c>
      <c r="B230" s="38"/>
      <c r="C230" s="38" t="s">
        <v>589</v>
      </c>
      <c r="D230" s="38"/>
      <c r="E230" s="38">
        <v>785673.98</v>
      </c>
      <c r="F230" s="38"/>
      <c r="G230" s="38">
        <v>170837.49</v>
      </c>
      <c r="H230" s="38"/>
      <c r="I230" s="38">
        <v>337703.02</v>
      </c>
      <c r="J230" s="38"/>
      <c r="K230" s="38">
        <v>299570.02</v>
      </c>
      <c r="L230" s="38"/>
      <c r="M230" s="38">
        <v>65354.85</v>
      </c>
      <c r="N230" s="38"/>
      <c r="O230" s="38">
        <v>27131.74</v>
      </c>
      <c r="P230" s="38"/>
      <c r="Q230" s="38">
        <v>35304.43</v>
      </c>
      <c r="R230" s="38"/>
      <c r="S230" s="38">
        <v>0</v>
      </c>
      <c r="T230" s="38"/>
      <c r="U230" s="38">
        <v>0</v>
      </c>
      <c r="V230" s="38"/>
      <c r="W230" s="38">
        <v>10000</v>
      </c>
      <c r="X230" s="38"/>
      <c r="Y230" s="38">
        <v>0</v>
      </c>
      <c r="Z230" s="38"/>
      <c r="AA230" s="38">
        <v>0</v>
      </c>
      <c r="AB230" s="38"/>
      <c r="AC230" s="3">
        <f t="shared" si="7"/>
        <v>1731575.53</v>
      </c>
      <c r="AD230" s="39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3"/>
    </row>
    <row r="231" spans="1:63" s="8" customFormat="1" ht="12">
      <c r="A231" s="38" t="s">
        <v>191</v>
      </c>
      <c r="B231" s="38"/>
      <c r="C231" s="38" t="s">
        <v>545</v>
      </c>
      <c r="D231" s="38"/>
      <c r="E231" s="38">
        <v>208844.92</v>
      </c>
      <c r="F231" s="38"/>
      <c r="G231" s="38">
        <v>32207.51</v>
      </c>
      <c r="H231" s="38"/>
      <c r="I231" s="38">
        <v>65176.41</v>
      </c>
      <c r="J231" s="38"/>
      <c r="K231" s="38">
        <v>61745.87</v>
      </c>
      <c r="L231" s="38"/>
      <c r="M231" s="38">
        <v>21440.8</v>
      </c>
      <c r="N231" s="38"/>
      <c r="O231" s="38">
        <v>3568.62</v>
      </c>
      <c r="P231" s="38"/>
      <c r="Q231" s="38">
        <v>28635.05</v>
      </c>
      <c r="R231" s="38"/>
      <c r="S231" s="38">
        <v>0</v>
      </c>
      <c r="T231" s="38"/>
      <c r="U231" s="38">
        <v>0</v>
      </c>
      <c r="V231" s="38"/>
      <c r="W231" s="38">
        <v>0</v>
      </c>
      <c r="X231" s="38"/>
      <c r="Y231" s="38">
        <v>0</v>
      </c>
      <c r="Z231" s="38"/>
      <c r="AA231" s="38">
        <v>0</v>
      </c>
      <c r="AB231" s="38"/>
      <c r="AC231" s="3">
        <f t="shared" si="7"/>
        <v>421619.18</v>
      </c>
      <c r="AD231" s="43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2"/>
    </row>
    <row r="232" spans="1:63" s="8" customFormat="1" ht="12">
      <c r="A232" s="38" t="s">
        <v>192</v>
      </c>
      <c r="B232" s="38"/>
      <c r="C232" s="38" t="s">
        <v>597</v>
      </c>
      <c r="D232" s="38"/>
      <c r="E232" s="38">
        <v>300820.72</v>
      </c>
      <c r="F232" s="38"/>
      <c r="G232" s="38">
        <v>87101.18</v>
      </c>
      <c r="H232" s="38"/>
      <c r="I232" s="38">
        <v>70465.58</v>
      </c>
      <c r="J232" s="38"/>
      <c r="K232" s="38">
        <v>92126.66</v>
      </c>
      <c r="L232" s="38"/>
      <c r="M232" s="38">
        <v>20692.71</v>
      </c>
      <c r="N232" s="38"/>
      <c r="O232" s="38">
        <v>6063</v>
      </c>
      <c r="P232" s="38"/>
      <c r="Q232" s="38">
        <v>10719.59</v>
      </c>
      <c r="R232" s="38"/>
      <c r="S232" s="38">
        <v>0</v>
      </c>
      <c r="T232" s="38"/>
      <c r="U232" s="38">
        <v>0</v>
      </c>
      <c r="V232" s="38"/>
      <c r="W232" s="38">
        <v>0</v>
      </c>
      <c r="X232" s="38"/>
      <c r="Y232" s="38">
        <v>0</v>
      </c>
      <c r="Z232" s="38"/>
      <c r="AA232" s="38">
        <v>0</v>
      </c>
      <c r="AB232" s="38"/>
      <c r="AC232" s="3">
        <f t="shared" si="7"/>
        <v>587989.44</v>
      </c>
      <c r="AD232" s="39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3"/>
    </row>
    <row r="233" spans="1:63" s="8" customFormat="1" ht="12">
      <c r="A233" s="38" t="s">
        <v>193</v>
      </c>
      <c r="B233" s="38"/>
      <c r="C233" s="38" t="s">
        <v>572</v>
      </c>
      <c r="D233" s="38"/>
      <c r="E233" s="38">
        <v>317384.06</v>
      </c>
      <c r="F233" s="38"/>
      <c r="G233" s="38">
        <v>67396.8</v>
      </c>
      <c r="H233" s="38"/>
      <c r="I233" s="38">
        <v>102372.99</v>
      </c>
      <c r="J233" s="38"/>
      <c r="K233" s="38">
        <v>87885.55</v>
      </c>
      <c r="L233" s="38"/>
      <c r="M233" s="38">
        <v>11091.02</v>
      </c>
      <c r="N233" s="38"/>
      <c r="O233" s="38">
        <v>5647.6</v>
      </c>
      <c r="P233" s="38"/>
      <c r="Q233" s="38">
        <v>1582.97</v>
      </c>
      <c r="R233" s="38"/>
      <c r="S233" s="38">
        <v>0</v>
      </c>
      <c r="T233" s="38"/>
      <c r="U233" s="38">
        <v>0</v>
      </c>
      <c r="V233" s="38"/>
      <c r="W233" s="38">
        <v>0</v>
      </c>
      <c r="X233" s="38"/>
      <c r="Y233" s="38">
        <v>0</v>
      </c>
      <c r="Z233" s="38"/>
      <c r="AA233" s="38">
        <v>0</v>
      </c>
      <c r="AB233" s="38"/>
      <c r="AC233" s="3">
        <f t="shared" si="7"/>
        <v>593360.99</v>
      </c>
      <c r="AD233" s="39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3"/>
    </row>
    <row r="234" spans="1:29" s="8" customFormat="1" ht="12">
      <c r="A234" s="31" t="s">
        <v>497</v>
      </c>
      <c r="B234" s="16"/>
      <c r="C234" s="16" t="s">
        <v>20</v>
      </c>
      <c r="E234" s="9">
        <v>504363</v>
      </c>
      <c r="F234" s="9"/>
      <c r="G234" s="9">
        <v>0</v>
      </c>
      <c r="H234" s="9"/>
      <c r="I234" s="9">
        <f>3956443-504363-72272</f>
        <v>3379808</v>
      </c>
      <c r="J234" s="9"/>
      <c r="K234" s="9">
        <v>0</v>
      </c>
      <c r="L234" s="9"/>
      <c r="M234" s="9">
        <v>0</v>
      </c>
      <c r="N234" s="9"/>
      <c r="O234" s="9">
        <v>0</v>
      </c>
      <c r="P234" s="9"/>
      <c r="Q234" s="9">
        <v>72272</v>
      </c>
      <c r="R234" s="9"/>
      <c r="S234" s="9">
        <v>0</v>
      </c>
      <c r="T234" s="9"/>
      <c r="U234" s="9">
        <v>0</v>
      </c>
      <c r="V234" s="9"/>
      <c r="W234" s="9">
        <v>831000</v>
      </c>
      <c r="X234" s="9"/>
      <c r="Y234" s="9">
        <v>0</v>
      </c>
      <c r="Z234" s="9"/>
      <c r="AA234" s="9">
        <v>0</v>
      </c>
      <c r="AB234" s="9"/>
      <c r="AC234" s="9">
        <f t="shared" si="7"/>
        <v>4787443</v>
      </c>
    </row>
    <row r="235" spans="1:29" s="8" customFormat="1" ht="12">
      <c r="A235" s="8" t="s">
        <v>10</v>
      </c>
      <c r="C235" s="8" t="s">
        <v>11</v>
      </c>
      <c r="E235" s="9">
        <v>2821693</v>
      </c>
      <c r="F235" s="9"/>
      <c r="G235" s="9">
        <v>1134325</v>
      </c>
      <c r="H235" s="9"/>
      <c r="I235" s="9">
        <v>758981</v>
      </c>
      <c r="J235" s="9"/>
      <c r="K235" s="9">
        <v>1365271</v>
      </c>
      <c r="L235" s="9"/>
      <c r="M235" s="9">
        <v>97603</v>
      </c>
      <c r="N235" s="9"/>
      <c r="O235" s="9">
        <v>13716</v>
      </c>
      <c r="P235" s="9"/>
      <c r="Q235" s="9">
        <v>252428</v>
      </c>
      <c r="R235" s="9"/>
      <c r="S235" s="9">
        <v>0</v>
      </c>
      <c r="T235" s="9"/>
      <c r="U235" s="9">
        <v>0</v>
      </c>
      <c r="V235" s="9"/>
      <c r="W235" s="9">
        <v>0</v>
      </c>
      <c r="X235" s="9"/>
      <c r="Y235" s="9">
        <v>0</v>
      </c>
      <c r="Z235" s="9"/>
      <c r="AA235" s="9">
        <v>0</v>
      </c>
      <c r="AB235" s="9"/>
      <c r="AC235" s="9">
        <f t="shared" si="7"/>
        <v>6444017</v>
      </c>
    </row>
    <row r="236" spans="1:63" s="8" customFormat="1" ht="12">
      <c r="A236" s="38" t="s">
        <v>194</v>
      </c>
      <c r="B236" s="38"/>
      <c r="C236" s="38" t="s">
        <v>599</v>
      </c>
      <c r="D236" s="38"/>
      <c r="E236" s="38">
        <v>402654.6</v>
      </c>
      <c r="F236" s="38"/>
      <c r="G236" s="38">
        <v>149856.06</v>
      </c>
      <c r="H236" s="38"/>
      <c r="I236" s="38">
        <v>133209.02</v>
      </c>
      <c r="J236" s="38"/>
      <c r="K236" s="38">
        <v>334864.38</v>
      </c>
      <c r="L236" s="38"/>
      <c r="M236" s="38">
        <v>42668.12</v>
      </c>
      <c r="N236" s="38"/>
      <c r="O236" s="38">
        <v>13728.46</v>
      </c>
      <c r="P236" s="38"/>
      <c r="Q236" s="38">
        <v>36006.55</v>
      </c>
      <c r="R236" s="38"/>
      <c r="S236" s="38">
        <v>0</v>
      </c>
      <c r="T236" s="38"/>
      <c r="U236" s="38">
        <v>0</v>
      </c>
      <c r="V236" s="38"/>
      <c r="W236" s="38">
        <v>0</v>
      </c>
      <c r="X236" s="38"/>
      <c r="Y236" s="38">
        <v>7852.07</v>
      </c>
      <c r="Z236" s="38"/>
      <c r="AA236" s="38">
        <v>0</v>
      </c>
      <c r="AB236" s="38"/>
      <c r="AC236" s="3">
        <f t="shared" si="7"/>
        <v>1120839.26</v>
      </c>
      <c r="AD236" s="39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3"/>
    </row>
    <row r="237" spans="1:63" s="8" customFormat="1" ht="12">
      <c r="A237" s="38" t="s">
        <v>195</v>
      </c>
      <c r="B237" s="38"/>
      <c r="C237" s="38" t="s">
        <v>555</v>
      </c>
      <c r="D237" s="38"/>
      <c r="E237" s="38">
        <v>102768.35</v>
      </c>
      <c r="F237" s="38"/>
      <c r="G237" s="38">
        <v>34373.03</v>
      </c>
      <c r="H237" s="38"/>
      <c r="I237" s="38">
        <v>48514.13</v>
      </c>
      <c r="J237" s="38"/>
      <c r="K237" s="38">
        <v>40237.41</v>
      </c>
      <c r="L237" s="38"/>
      <c r="M237" s="38">
        <v>4211.77</v>
      </c>
      <c r="N237" s="38"/>
      <c r="O237" s="38">
        <v>5051.72</v>
      </c>
      <c r="P237" s="38"/>
      <c r="Q237" s="38">
        <v>726.85</v>
      </c>
      <c r="R237" s="38"/>
      <c r="S237" s="38">
        <v>0</v>
      </c>
      <c r="T237" s="38"/>
      <c r="U237" s="38">
        <v>0</v>
      </c>
      <c r="V237" s="38"/>
      <c r="W237" s="38">
        <v>173033.66</v>
      </c>
      <c r="X237" s="38"/>
      <c r="Y237" s="38">
        <v>0</v>
      </c>
      <c r="Z237" s="38"/>
      <c r="AA237" s="38">
        <v>0</v>
      </c>
      <c r="AB237" s="38"/>
      <c r="AC237" s="3">
        <f t="shared" si="7"/>
        <v>408916.92000000004</v>
      </c>
      <c r="AD237" s="39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3"/>
    </row>
    <row r="238" spans="1:63" s="8" customFormat="1" ht="12">
      <c r="A238" s="38" t="s">
        <v>196</v>
      </c>
      <c r="B238" s="38"/>
      <c r="C238" s="38" t="s">
        <v>555</v>
      </c>
      <c r="D238" s="38"/>
      <c r="E238" s="38">
        <v>257858.38</v>
      </c>
      <c r="F238" s="38"/>
      <c r="G238" s="38">
        <v>102699.05</v>
      </c>
      <c r="H238" s="38"/>
      <c r="I238" s="38">
        <v>97560.32</v>
      </c>
      <c r="J238" s="38"/>
      <c r="K238" s="38">
        <v>83545.53</v>
      </c>
      <c r="L238" s="38"/>
      <c r="M238" s="38">
        <v>41784.76</v>
      </c>
      <c r="N238" s="38"/>
      <c r="O238" s="38">
        <v>8295.59</v>
      </c>
      <c r="P238" s="38"/>
      <c r="Q238" s="38">
        <v>12873.42</v>
      </c>
      <c r="R238" s="38"/>
      <c r="S238" s="38">
        <v>0</v>
      </c>
      <c r="T238" s="38"/>
      <c r="U238" s="38">
        <v>0</v>
      </c>
      <c r="V238" s="38"/>
      <c r="W238" s="38">
        <v>0</v>
      </c>
      <c r="X238" s="38"/>
      <c r="Y238" s="38">
        <v>0</v>
      </c>
      <c r="Z238" s="38"/>
      <c r="AA238" s="38">
        <v>0</v>
      </c>
      <c r="AB238" s="38"/>
      <c r="AC238" s="3">
        <f t="shared" si="7"/>
        <v>604617.05</v>
      </c>
      <c r="AD238" s="39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3"/>
    </row>
    <row r="239" spans="1:63" s="8" customFormat="1" ht="12">
      <c r="A239" s="38" t="s">
        <v>197</v>
      </c>
      <c r="B239" s="38"/>
      <c r="C239" s="38" t="s">
        <v>567</v>
      </c>
      <c r="D239" s="38"/>
      <c r="E239" s="38">
        <v>77267.36</v>
      </c>
      <c r="F239" s="38"/>
      <c r="G239" s="38">
        <v>28543.56</v>
      </c>
      <c r="H239" s="38"/>
      <c r="I239" s="38">
        <v>42439.18</v>
      </c>
      <c r="J239" s="38"/>
      <c r="K239" s="38">
        <v>23423.11</v>
      </c>
      <c r="L239" s="38"/>
      <c r="M239" s="38">
        <v>4886.84</v>
      </c>
      <c r="N239" s="38"/>
      <c r="O239" s="38">
        <v>1538</v>
      </c>
      <c r="P239" s="38"/>
      <c r="Q239" s="38">
        <v>1364.45</v>
      </c>
      <c r="R239" s="38"/>
      <c r="S239" s="38">
        <v>10962.72</v>
      </c>
      <c r="T239" s="38"/>
      <c r="U239" s="38">
        <v>10510.92</v>
      </c>
      <c r="V239" s="38"/>
      <c r="W239" s="38">
        <v>0</v>
      </c>
      <c r="X239" s="38"/>
      <c r="Y239" s="38">
        <v>0</v>
      </c>
      <c r="Z239" s="38"/>
      <c r="AA239" s="38">
        <v>0</v>
      </c>
      <c r="AB239" s="38"/>
      <c r="AC239" s="3">
        <f t="shared" si="7"/>
        <v>200936.14000000004</v>
      </c>
      <c r="AD239" s="39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3"/>
    </row>
    <row r="240" spans="1:29" s="8" customFormat="1" ht="12">
      <c r="A240" s="8" t="s">
        <v>198</v>
      </c>
      <c r="C240" s="8" t="s">
        <v>104</v>
      </c>
      <c r="E240" s="9">
        <v>2200400</v>
      </c>
      <c r="F240" s="9"/>
      <c r="G240" s="9">
        <v>693755</v>
      </c>
      <c r="H240" s="9"/>
      <c r="I240" s="9">
        <v>470248</v>
      </c>
      <c r="J240" s="9"/>
      <c r="K240" s="9">
        <v>513771</v>
      </c>
      <c r="L240" s="9"/>
      <c r="M240" s="9">
        <v>76294</v>
      </c>
      <c r="N240" s="9"/>
      <c r="O240" s="9">
        <v>1038</v>
      </c>
      <c r="P240" s="9"/>
      <c r="Q240" s="9">
        <v>25225</v>
      </c>
      <c r="R240" s="9"/>
      <c r="S240" s="9">
        <v>0</v>
      </c>
      <c r="T240" s="9"/>
      <c r="U240" s="9">
        <v>0</v>
      </c>
      <c r="V240" s="9"/>
      <c r="W240" s="9">
        <v>0</v>
      </c>
      <c r="X240" s="9"/>
      <c r="Y240" s="9">
        <v>0</v>
      </c>
      <c r="Z240" s="9"/>
      <c r="AA240" s="9">
        <v>0</v>
      </c>
      <c r="AB240" s="9"/>
      <c r="AC240" s="9">
        <f t="shared" si="7"/>
        <v>3980731</v>
      </c>
    </row>
    <row r="241" spans="1:29" s="8" customFormat="1" ht="12">
      <c r="A241" s="8" t="s">
        <v>199</v>
      </c>
      <c r="C241" s="8" t="s">
        <v>93</v>
      </c>
      <c r="E241" s="9">
        <v>937589</v>
      </c>
      <c r="F241" s="9"/>
      <c r="G241" s="9">
        <v>101404</v>
      </c>
      <c r="H241" s="9"/>
      <c r="I241" s="9">
        <v>0</v>
      </c>
      <c r="J241" s="9"/>
      <c r="K241" s="9">
        <v>251977</v>
      </c>
      <c r="L241" s="9"/>
      <c r="M241" s="9">
        <v>60519</v>
      </c>
      <c r="N241" s="9"/>
      <c r="O241" s="9">
        <v>0</v>
      </c>
      <c r="P241" s="9"/>
      <c r="Q241" s="9">
        <v>145502</v>
      </c>
      <c r="R241" s="9"/>
      <c r="S241" s="9">
        <v>0</v>
      </c>
      <c r="T241" s="9"/>
      <c r="U241" s="9">
        <v>0</v>
      </c>
      <c r="V241" s="9"/>
      <c r="W241" s="9">
        <v>0</v>
      </c>
      <c r="X241" s="9"/>
      <c r="Y241" s="9">
        <v>0</v>
      </c>
      <c r="Z241" s="9"/>
      <c r="AA241" s="9">
        <v>0</v>
      </c>
      <c r="AB241" s="9"/>
      <c r="AC241" s="9">
        <f t="shared" si="7"/>
        <v>1496991</v>
      </c>
    </row>
    <row r="242" spans="1:29" s="8" customFormat="1" ht="12">
      <c r="A242" s="8" t="s">
        <v>200</v>
      </c>
      <c r="C242" s="8" t="s">
        <v>201</v>
      </c>
      <c r="E242" s="9">
        <v>300993</v>
      </c>
      <c r="F242" s="9"/>
      <c r="G242" s="9">
        <v>116289</v>
      </c>
      <c r="H242" s="9"/>
      <c r="I242" s="9">
        <v>99190</v>
      </c>
      <c r="J242" s="9"/>
      <c r="K242" s="9">
        <v>246923</v>
      </c>
      <c r="L242" s="9"/>
      <c r="M242" s="9">
        <v>40017</v>
      </c>
      <c r="N242" s="9"/>
      <c r="O242" s="9">
        <v>3815</v>
      </c>
      <c r="P242" s="9"/>
      <c r="Q242" s="9">
        <v>14669</v>
      </c>
      <c r="R242" s="9"/>
      <c r="S242" s="9">
        <v>0</v>
      </c>
      <c r="T242" s="9"/>
      <c r="U242" s="9">
        <v>0</v>
      </c>
      <c r="V242" s="9"/>
      <c r="W242" s="9">
        <v>650000</v>
      </c>
      <c r="X242" s="9"/>
      <c r="Y242" s="9">
        <v>0</v>
      </c>
      <c r="Z242" s="9"/>
      <c r="AA242" s="9">
        <v>0</v>
      </c>
      <c r="AB242" s="9"/>
      <c r="AC242" s="9">
        <f t="shared" si="7"/>
        <v>1471896</v>
      </c>
    </row>
    <row r="243" spans="1:29" s="8" customFormat="1" ht="12">
      <c r="A243" s="8" t="s">
        <v>12</v>
      </c>
      <c r="C243" s="8" t="s">
        <v>13</v>
      </c>
      <c r="E243" s="9">
        <v>0</v>
      </c>
      <c r="F243" s="9"/>
      <c r="G243" s="9">
        <v>0</v>
      </c>
      <c r="H243" s="9"/>
      <c r="I243" s="9">
        <v>761181</v>
      </c>
      <c r="J243" s="9"/>
      <c r="K243" s="9">
        <v>0</v>
      </c>
      <c r="L243" s="9"/>
      <c r="M243" s="9">
        <v>0</v>
      </c>
      <c r="N243" s="9"/>
      <c r="O243" s="9">
        <v>0</v>
      </c>
      <c r="P243" s="9"/>
      <c r="Q243" s="9">
        <v>0</v>
      </c>
      <c r="R243" s="9"/>
      <c r="S243" s="9">
        <v>0</v>
      </c>
      <c r="T243" s="9"/>
      <c r="U243" s="9">
        <v>0</v>
      </c>
      <c r="V243" s="9"/>
      <c r="W243" s="9">
        <v>322300</v>
      </c>
      <c r="X243" s="9"/>
      <c r="Y243" s="9">
        <v>0</v>
      </c>
      <c r="Z243" s="9"/>
      <c r="AA243" s="9">
        <v>0</v>
      </c>
      <c r="AB243" s="9"/>
      <c r="AC243" s="9">
        <f t="shared" si="7"/>
        <v>1083481</v>
      </c>
    </row>
    <row r="244" spans="1:29" s="8" customFormat="1" ht="12" hidden="1">
      <c r="A244" s="8" t="s">
        <v>41</v>
      </c>
      <c r="C244" s="8" t="s">
        <v>45</v>
      </c>
      <c r="E244" s="9">
        <v>0</v>
      </c>
      <c r="F244" s="9"/>
      <c r="G244" s="9">
        <v>0</v>
      </c>
      <c r="H244" s="9"/>
      <c r="I244" s="9">
        <v>0</v>
      </c>
      <c r="J244" s="9"/>
      <c r="K244" s="9">
        <v>0</v>
      </c>
      <c r="L244" s="9"/>
      <c r="M244" s="9">
        <v>0</v>
      </c>
      <c r="N244" s="9"/>
      <c r="O244" s="9">
        <v>0</v>
      </c>
      <c r="P244" s="9"/>
      <c r="Q244" s="9">
        <v>0</v>
      </c>
      <c r="R244" s="9"/>
      <c r="S244" s="9">
        <v>0</v>
      </c>
      <c r="T244" s="9"/>
      <c r="U244" s="9">
        <v>0</v>
      </c>
      <c r="V244" s="9"/>
      <c r="W244" s="9">
        <v>0</v>
      </c>
      <c r="X244" s="9"/>
      <c r="Y244" s="9">
        <v>0</v>
      </c>
      <c r="Z244" s="9"/>
      <c r="AA244" s="9">
        <v>0</v>
      </c>
      <c r="AB244" s="9"/>
      <c r="AC244" s="9">
        <f t="shared" si="7"/>
        <v>0</v>
      </c>
    </row>
    <row r="245" spans="1:29" s="8" customFormat="1" ht="12">
      <c r="A245" s="8" t="s">
        <v>202</v>
      </c>
      <c r="C245" s="8" t="s">
        <v>60</v>
      </c>
      <c r="E245" s="9">
        <v>3991793</v>
      </c>
      <c r="F245" s="9"/>
      <c r="G245" s="9">
        <v>1089316</v>
      </c>
      <c r="H245" s="9"/>
      <c r="I245" s="9">
        <v>1358677</v>
      </c>
      <c r="J245" s="9"/>
      <c r="K245" s="9">
        <v>1354589</v>
      </c>
      <c r="L245" s="9"/>
      <c r="M245" s="9">
        <v>196874</v>
      </c>
      <c r="N245" s="9"/>
      <c r="O245" s="9">
        <v>40307</v>
      </c>
      <c r="P245" s="9"/>
      <c r="Q245" s="9">
        <v>300085</v>
      </c>
      <c r="R245" s="9"/>
      <c r="S245" s="9">
        <v>0</v>
      </c>
      <c r="T245" s="9"/>
      <c r="U245" s="9">
        <v>0</v>
      </c>
      <c r="V245" s="9"/>
      <c r="W245" s="9">
        <v>497450</v>
      </c>
      <c r="X245" s="9"/>
      <c r="Y245" s="9">
        <v>0</v>
      </c>
      <c r="Z245" s="9"/>
      <c r="AA245" s="9">
        <v>0</v>
      </c>
      <c r="AB245" s="9"/>
      <c r="AC245" s="9">
        <f t="shared" si="7"/>
        <v>8829091</v>
      </c>
    </row>
    <row r="246" spans="1:29" s="8" customFormat="1" ht="12">
      <c r="A246" s="8" t="s">
        <v>203</v>
      </c>
      <c r="C246" s="8" t="s">
        <v>87</v>
      </c>
      <c r="E246" s="9">
        <v>347053</v>
      </c>
      <c r="F246" s="9"/>
      <c r="G246" s="9">
        <v>98947</v>
      </c>
      <c r="H246" s="9"/>
      <c r="I246" s="9">
        <v>132521</v>
      </c>
      <c r="J246" s="9"/>
      <c r="K246" s="9">
        <v>79625</v>
      </c>
      <c r="L246" s="9"/>
      <c r="M246" s="9">
        <v>16847</v>
      </c>
      <c r="N246" s="9"/>
      <c r="O246" s="9">
        <v>2672</v>
      </c>
      <c r="P246" s="9"/>
      <c r="Q246" s="9">
        <v>16579</v>
      </c>
      <c r="R246" s="9"/>
      <c r="S246" s="9">
        <v>0</v>
      </c>
      <c r="T246" s="9"/>
      <c r="U246" s="9">
        <v>0</v>
      </c>
      <c r="V246" s="9"/>
      <c r="W246" s="9">
        <v>0</v>
      </c>
      <c r="X246" s="9"/>
      <c r="Y246" s="9">
        <v>0</v>
      </c>
      <c r="Z246" s="9"/>
      <c r="AA246" s="9">
        <v>0</v>
      </c>
      <c r="AB246" s="9"/>
      <c r="AC246" s="9">
        <f aca="true" t="shared" si="8" ref="AC246:AC268">SUM(E246:AA246)</f>
        <v>694244</v>
      </c>
    </row>
    <row r="247" spans="1:29" s="8" customFormat="1" ht="12" hidden="1">
      <c r="A247" s="8" t="s">
        <v>312</v>
      </c>
      <c r="C247" s="8" t="s">
        <v>68</v>
      </c>
      <c r="E247" s="9">
        <v>0</v>
      </c>
      <c r="F247" s="9"/>
      <c r="G247" s="9">
        <v>0</v>
      </c>
      <c r="H247" s="9"/>
      <c r="I247" s="9">
        <v>0</v>
      </c>
      <c r="J247" s="9"/>
      <c r="K247" s="9">
        <v>0</v>
      </c>
      <c r="L247" s="9"/>
      <c r="M247" s="9">
        <v>0</v>
      </c>
      <c r="N247" s="9"/>
      <c r="O247" s="9">
        <v>0</v>
      </c>
      <c r="P247" s="9"/>
      <c r="Q247" s="9">
        <v>0</v>
      </c>
      <c r="R247" s="9"/>
      <c r="S247" s="9">
        <v>0</v>
      </c>
      <c r="T247" s="9"/>
      <c r="U247" s="9">
        <v>0</v>
      </c>
      <c r="V247" s="9"/>
      <c r="W247" s="9">
        <v>0</v>
      </c>
      <c r="X247" s="9"/>
      <c r="Y247" s="9">
        <v>0</v>
      </c>
      <c r="Z247" s="9"/>
      <c r="AA247" s="9">
        <v>0</v>
      </c>
      <c r="AB247" s="9"/>
      <c r="AC247" s="9">
        <f t="shared" si="8"/>
        <v>0</v>
      </c>
    </row>
    <row r="248" spans="1:29" s="8" customFormat="1" ht="12" hidden="1">
      <c r="A248" s="8" t="s">
        <v>313</v>
      </c>
      <c r="C248" s="8" t="s">
        <v>54</v>
      </c>
      <c r="E248" s="9">
        <v>0</v>
      </c>
      <c r="F248" s="9"/>
      <c r="G248" s="9">
        <v>0</v>
      </c>
      <c r="H248" s="9"/>
      <c r="I248" s="9">
        <v>0</v>
      </c>
      <c r="J248" s="9"/>
      <c r="K248" s="9">
        <v>0</v>
      </c>
      <c r="L248" s="9"/>
      <c r="M248" s="9">
        <v>0</v>
      </c>
      <c r="N248" s="9"/>
      <c r="O248" s="9">
        <v>0</v>
      </c>
      <c r="P248" s="9"/>
      <c r="Q248" s="9">
        <v>0</v>
      </c>
      <c r="R248" s="9"/>
      <c r="S248" s="9">
        <v>0</v>
      </c>
      <c r="T248" s="9"/>
      <c r="U248" s="9">
        <v>0</v>
      </c>
      <c r="V248" s="9"/>
      <c r="W248" s="9">
        <v>0</v>
      </c>
      <c r="X248" s="9"/>
      <c r="Y248" s="9">
        <v>0</v>
      </c>
      <c r="Z248" s="9"/>
      <c r="AA248" s="9">
        <v>0</v>
      </c>
      <c r="AB248" s="9"/>
      <c r="AC248" s="9">
        <f t="shared" si="8"/>
        <v>0</v>
      </c>
    </row>
    <row r="249" spans="1:29" s="8" customFormat="1" ht="12" hidden="1">
      <c r="A249" s="8" t="s">
        <v>314</v>
      </c>
      <c r="C249" s="8" t="s">
        <v>68</v>
      </c>
      <c r="E249" s="9">
        <v>0</v>
      </c>
      <c r="F249" s="9"/>
      <c r="G249" s="9">
        <v>0</v>
      </c>
      <c r="H249" s="9"/>
      <c r="I249" s="9">
        <v>0</v>
      </c>
      <c r="J249" s="9"/>
      <c r="K249" s="9">
        <v>0</v>
      </c>
      <c r="L249" s="9"/>
      <c r="M249" s="9">
        <v>0</v>
      </c>
      <c r="N249" s="9"/>
      <c r="O249" s="9">
        <v>0</v>
      </c>
      <c r="P249" s="9"/>
      <c r="Q249" s="9">
        <v>0</v>
      </c>
      <c r="R249" s="9"/>
      <c r="S249" s="9">
        <v>0</v>
      </c>
      <c r="T249" s="9"/>
      <c r="U249" s="9">
        <v>0</v>
      </c>
      <c r="V249" s="9"/>
      <c r="W249" s="9">
        <v>0</v>
      </c>
      <c r="X249" s="9"/>
      <c r="Y249" s="9">
        <v>0</v>
      </c>
      <c r="Z249" s="9"/>
      <c r="AA249" s="9">
        <v>0</v>
      </c>
      <c r="AB249" s="9"/>
      <c r="AC249" s="9">
        <f t="shared" si="8"/>
        <v>0</v>
      </c>
    </row>
    <row r="250" spans="1:29" s="8" customFormat="1" ht="12" hidden="1">
      <c r="A250" s="8" t="s">
        <v>42</v>
      </c>
      <c r="C250" s="8" t="s">
        <v>16</v>
      </c>
      <c r="E250" s="9">
        <v>0</v>
      </c>
      <c r="F250" s="9"/>
      <c r="G250" s="9">
        <v>0</v>
      </c>
      <c r="H250" s="9"/>
      <c r="I250" s="9">
        <v>0</v>
      </c>
      <c r="J250" s="9"/>
      <c r="K250" s="9">
        <v>0</v>
      </c>
      <c r="L250" s="9"/>
      <c r="M250" s="9">
        <v>0</v>
      </c>
      <c r="N250" s="9"/>
      <c r="O250" s="9">
        <v>0</v>
      </c>
      <c r="P250" s="9"/>
      <c r="Q250" s="9">
        <v>0</v>
      </c>
      <c r="R250" s="9"/>
      <c r="S250" s="9">
        <v>0</v>
      </c>
      <c r="T250" s="9"/>
      <c r="U250" s="9">
        <v>0</v>
      </c>
      <c r="V250" s="9"/>
      <c r="W250" s="9">
        <v>0</v>
      </c>
      <c r="X250" s="9"/>
      <c r="Y250" s="9">
        <v>0</v>
      </c>
      <c r="Z250" s="9"/>
      <c r="AA250" s="9">
        <v>0</v>
      </c>
      <c r="AB250" s="9"/>
      <c r="AC250" s="9">
        <f t="shared" si="8"/>
        <v>0</v>
      </c>
    </row>
    <row r="251" spans="1:63" s="8" customFormat="1" ht="12">
      <c r="A251" s="38" t="s">
        <v>355</v>
      </c>
      <c r="B251" s="38"/>
      <c r="C251" s="38" t="s">
        <v>594</v>
      </c>
      <c r="D251" s="38"/>
      <c r="E251" s="38">
        <v>409997.36</v>
      </c>
      <c r="F251" s="38"/>
      <c r="G251" s="38">
        <v>65828.47</v>
      </c>
      <c r="H251" s="38"/>
      <c r="I251" s="38">
        <v>97280.58</v>
      </c>
      <c r="J251" s="38"/>
      <c r="K251" s="38">
        <v>127596.52</v>
      </c>
      <c r="L251" s="38"/>
      <c r="M251" s="38">
        <v>15370.36</v>
      </c>
      <c r="N251" s="38"/>
      <c r="O251" s="38">
        <v>7198.11</v>
      </c>
      <c r="P251" s="38"/>
      <c r="Q251" s="38">
        <v>12974.79</v>
      </c>
      <c r="R251" s="38"/>
      <c r="S251" s="38">
        <v>0</v>
      </c>
      <c r="T251" s="38"/>
      <c r="U251" s="38">
        <v>0</v>
      </c>
      <c r="V251" s="38"/>
      <c r="W251" s="38">
        <v>0</v>
      </c>
      <c r="X251" s="38"/>
      <c r="Y251" s="38">
        <v>0</v>
      </c>
      <c r="Z251" s="38"/>
      <c r="AA251" s="38">
        <v>449.99</v>
      </c>
      <c r="AB251" s="38"/>
      <c r="AC251" s="3">
        <f t="shared" si="8"/>
        <v>736696.1799999999</v>
      </c>
      <c r="AD251" s="39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3"/>
    </row>
    <row r="252" spans="1:29" s="8" customFormat="1" ht="12">
      <c r="A252" s="8" t="s">
        <v>205</v>
      </c>
      <c r="C252" s="8" t="s">
        <v>16</v>
      </c>
      <c r="E252" s="9">
        <v>572392</v>
      </c>
      <c r="F252" s="9"/>
      <c r="G252" s="9">
        <v>163848</v>
      </c>
      <c r="H252" s="9"/>
      <c r="I252" s="9">
        <v>154509</v>
      </c>
      <c r="J252" s="9"/>
      <c r="K252" s="9">
        <v>256896</v>
      </c>
      <c r="L252" s="9"/>
      <c r="M252" s="9">
        <v>20500</v>
      </c>
      <c r="N252" s="9"/>
      <c r="O252" s="9">
        <v>7662</v>
      </c>
      <c r="P252" s="9"/>
      <c r="Q252" s="9">
        <v>2229</v>
      </c>
      <c r="R252" s="9"/>
      <c r="S252" s="9">
        <v>0</v>
      </c>
      <c r="T252" s="9"/>
      <c r="U252" s="9">
        <v>0</v>
      </c>
      <c r="V252" s="9"/>
      <c r="W252" s="9">
        <v>0</v>
      </c>
      <c r="X252" s="9"/>
      <c r="Y252" s="9">
        <v>0</v>
      </c>
      <c r="Z252" s="9"/>
      <c r="AA252" s="9">
        <v>0</v>
      </c>
      <c r="AB252" s="9"/>
      <c r="AC252" s="9">
        <f t="shared" si="8"/>
        <v>1178036</v>
      </c>
    </row>
    <row r="253" spans="1:29" s="8" customFormat="1" ht="12">
      <c r="A253" s="8" t="s">
        <v>206</v>
      </c>
      <c r="C253" s="8" t="s">
        <v>207</v>
      </c>
      <c r="E253" s="9">
        <v>3896350</v>
      </c>
      <c r="F253" s="9"/>
      <c r="G253" s="9">
        <v>2101573</v>
      </c>
      <c r="H253" s="9"/>
      <c r="I253" s="9">
        <v>945170</v>
      </c>
      <c r="J253" s="9"/>
      <c r="K253" s="9">
        <v>1092642</v>
      </c>
      <c r="L253" s="9"/>
      <c r="M253" s="9">
        <v>223229</v>
      </c>
      <c r="N253" s="9"/>
      <c r="O253" s="9">
        <v>23749</v>
      </c>
      <c r="P253" s="9"/>
      <c r="Q253" s="9">
        <v>44563</v>
      </c>
      <c r="R253" s="9"/>
      <c r="S253" s="9">
        <v>0</v>
      </c>
      <c r="T253" s="9"/>
      <c r="U253" s="9">
        <v>0</v>
      </c>
      <c r="V253" s="9"/>
      <c r="W253" s="9">
        <v>500000</v>
      </c>
      <c r="X253" s="9"/>
      <c r="Y253" s="9">
        <v>0</v>
      </c>
      <c r="Z253" s="9"/>
      <c r="AA253" s="9">
        <v>0</v>
      </c>
      <c r="AB253" s="9"/>
      <c r="AC253" s="9">
        <f t="shared" si="8"/>
        <v>8827276</v>
      </c>
    </row>
    <row r="254" spans="1:63" ht="12">
      <c r="A254" s="38" t="s">
        <v>208</v>
      </c>
      <c r="B254" s="38"/>
      <c r="C254" s="38" t="s">
        <v>590</v>
      </c>
      <c r="D254" s="38"/>
      <c r="E254" s="38">
        <v>25814.71</v>
      </c>
      <c r="F254" s="38"/>
      <c r="G254" s="38">
        <v>3843.36</v>
      </c>
      <c r="H254" s="38"/>
      <c r="I254" s="38">
        <v>13326.49</v>
      </c>
      <c r="J254" s="38"/>
      <c r="K254" s="38">
        <v>19733.71</v>
      </c>
      <c r="L254" s="38"/>
      <c r="M254" s="38">
        <v>4503.95</v>
      </c>
      <c r="N254" s="38"/>
      <c r="O254" s="38">
        <v>256.15</v>
      </c>
      <c r="P254" s="38"/>
      <c r="Q254" s="38">
        <v>599.98</v>
      </c>
      <c r="R254" s="38"/>
      <c r="S254" s="38">
        <v>0</v>
      </c>
      <c r="T254" s="38"/>
      <c r="U254" s="38">
        <v>0</v>
      </c>
      <c r="V254" s="38"/>
      <c r="W254" s="38">
        <v>0</v>
      </c>
      <c r="X254" s="38"/>
      <c r="Y254" s="38">
        <v>0</v>
      </c>
      <c r="Z254" s="38"/>
      <c r="AA254" s="38">
        <v>3554.87</v>
      </c>
      <c r="AB254" s="38"/>
      <c r="AC254" s="3">
        <f t="shared" si="8"/>
        <v>71633.21999999999</v>
      </c>
      <c r="AD254" s="39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3"/>
    </row>
    <row r="255" spans="1:29" ht="12" hidden="1">
      <c r="A255" s="2" t="s">
        <v>318</v>
      </c>
      <c r="C255" s="2" t="s">
        <v>72</v>
      </c>
      <c r="E255" s="9">
        <v>0</v>
      </c>
      <c r="F255" s="9"/>
      <c r="G255" s="9">
        <v>0</v>
      </c>
      <c r="H255" s="9"/>
      <c r="I255" s="9">
        <v>0</v>
      </c>
      <c r="J255" s="9"/>
      <c r="K255" s="9">
        <v>0</v>
      </c>
      <c r="L255" s="9"/>
      <c r="M255" s="9">
        <v>0</v>
      </c>
      <c r="N255" s="9"/>
      <c r="O255" s="9">
        <v>0</v>
      </c>
      <c r="P255" s="9"/>
      <c r="Q255" s="9">
        <v>0</v>
      </c>
      <c r="R255" s="9"/>
      <c r="S255" s="9">
        <v>0</v>
      </c>
      <c r="T255" s="9"/>
      <c r="U255" s="9">
        <v>0</v>
      </c>
      <c r="V255" s="9"/>
      <c r="W255" s="9">
        <v>0</v>
      </c>
      <c r="X255" s="9"/>
      <c r="Y255" s="9">
        <v>0</v>
      </c>
      <c r="Z255" s="9"/>
      <c r="AA255" s="9">
        <v>0</v>
      </c>
      <c r="AB255" s="3"/>
      <c r="AC255" s="3">
        <f t="shared" si="8"/>
        <v>0</v>
      </c>
    </row>
    <row r="256" spans="1:63" ht="12">
      <c r="A256" s="8" t="s">
        <v>209</v>
      </c>
      <c r="B256" s="8"/>
      <c r="C256" s="8" t="s">
        <v>210</v>
      </c>
      <c r="D256" s="8"/>
      <c r="E256" s="9">
        <v>1457239</v>
      </c>
      <c r="F256" s="9"/>
      <c r="G256" s="9">
        <v>514469</v>
      </c>
      <c r="H256" s="9"/>
      <c r="I256" s="9">
        <v>283724</v>
      </c>
      <c r="J256" s="9"/>
      <c r="K256" s="9">
        <v>344049</v>
      </c>
      <c r="L256" s="9"/>
      <c r="M256" s="9">
        <v>51012</v>
      </c>
      <c r="N256" s="9"/>
      <c r="O256" s="9">
        <v>15019</v>
      </c>
      <c r="P256" s="9"/>
      <c r="Q256" s="9">
        <v>75470</v>
      </c>
      <c r="R256" s="9"/>
      <c r="S256" s="9">
        <v>0</v>
      </c>
      <c r="T256" s="9"/>
      <c r="U256" s="9">
        <v>0</v>
      </c>
      <c r="V256" s="9"/>
      <c r="W256" s="9">
        <v>0</v>
      </c>
      <c r="X256" s="9"/>
      <c r="Y256" s="9">
        <v>0</v>
      </c>
      <c r="Z256" s="9"/>
      <c r="AA256" s="9">
        <v>0</v>
      </c>
      <c r="AB256" s="9"/>
      <c r="AC256" s="9">
        <f t="shared" si="8"/>
        <v>2740982</v>
      </c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</row>
    <row r="257" spans="1:29" ht="12" hidden="1">
      <c r="A257" s="2" t="s">
        <v>320</v>
      </c>
      <c r="C257" s="2" t="s">
        <v>84</v>
      </c>
      <c r="E257" s="9">
        <v>0</v>
      </c>
      <c r="F257" s="9"/>
      <c r="G257" s="9">
        <v>0</v>
      </c>
      <c r="H257" s="9"/>
      <c r="I257" s="9">
        <v>0</v>
      </c>
      <c r="J257" s="9"/>
      <c r="K257" s="9">
        <v>0</v>
      </c>
      <c r="L257" s="9"/>
      <c r="M257" s="9">
        <v>0</v>
      </c>
      <c r="N257" s="9"/>
      <c r="O257" s="9">
        <v>0</v>
      </c>
      <c r="P257" s="9"/>
      <c r="Q257" s="9">
        <v>0</v>
      </c>
      <c r="R257" s="9"/>
      <c r="S257" s="9">
        <v>0</v>
      </c>
      <c r="T257" s="9"/>
      <c r="U257" s="9">
        <v>0</v>
      </c>
      <c r="V257" s="9"/>
      <c r="W257" s="9">
        <v>0</v>
      </c>
      <c r="X257" s="9"/>
      <c r="Y257" s="9">
        <v>0</v>
      </c>
      <c r="Z257" s="9"/>
      <c r="AA257" s="9">
        <v>0</v>
      </c>
      <c r="AB257" s="3"/>
      <c r="AC257" s="3">
        <f t="shared" si="8"/>
        <v>0</v>
      </c>
    </row>
    <row r="258" spans="1:29" ht="12" hidden="1">
      <c r="A258" s="2" t="s">
        <v>321</v>
      </c>
      <c r="C258" s="2" t="s">
        <v>73</v>
      </c>
      <c r="E258" s="9">
        <v>0</v>
      </c>
      <c r="F258" s="9"/>
      <c r="G258" s="9">
        <v>0</v>
      </c>
      <c r="H258" s="9"/>
      <c r="I258" s="9">
        <v>0</v>
      </c>
      <c r="J258" s="9"/>
      <c r="K258" s="9">
        <v>0</v>
      </c>
      <c r="L258" s="9"/>
      <c r="M258" s="9">
        <v>0</v>
      </c>
      <c r="N258" s="9"/>
      <c r="O258" s="9">
        <v>0</v>
      </c>
      <c r="P258" s="9"/>
      <c r="Q258" s="9">
        <v>0</v>
      </c>
      <c r="R258" s="9"/>
      <c r="S258" s="9">
        <v>0</v>
      </c>
      <c r="T258" s="9"/>
      <c r="U258" s="9">
        <v>0</v>
      </c>
      <c r="V258" s="9"/>
      <c r="W258" s="9">
        <v>0</v>
      </c>
      <c r="X258" s="9"/>
      <c r="Y258" s="9">
        <v>0</v>
      </c>
      <c r="Z258" s="9"/>
      <c r="AA258" s="9">
        <v>0</v>
      </c>
      <c r="AB258" s="3"/>
      <c r="AC258" s="3">
        <f t="shared" si="8"/>
        <v>0</v>
      </c>
    </row>
    <row r="259" spans="1:63" ht="12">
      <c r="A259" s="8" t="s">
        <v>486</v>
      </c>
      <c r="B259" s="8"/>
      <c r="C259" s="8" t="s">
        <v>14</v>
      </c>
      <c r="D259" s="8"/>
      <c r="E259" s="9">
        <v>0</v>
      </c>
      <c r="F259" s="9"/>
      <c r="G259" s="9">
        <v>0</v>
      </c>
      <c r="H259" s="9"/>
      <c r="I259" s="9">
        <v>1252808</v>
      </c>
      <c r="J259" s="9"/>
      <c r="K259" s="9">
        <v>0</v>
      </c>
      <c r="L259" s="9"/>
      <c r="M259" s="9">
        <v>0</v>
      </c>
      <c r="N259" s="9"/>
      <c r="O259" s="9">
        <v>0</v>
      </c>
      <c r="P259" s="9"/>
      <c r="Q259" s="9">
        <v>23339</v>
      </c>
      <c r="R259" s="9"/>
      <c r="S259" s="9">
        <v>0</v>
      </c>
      <c r="T259" s="9"/>
      <c r="U259" s="9">
        <v>0</v>
      </c>
      <c r="V259" s="9"/>
      <c r="W259" s="9">
        <v>5000</v>
      </c>
      <c r="X259" s="9"/>
      <c r="Y259" s="9">
        <v>0</v>
      </c>
      <c r="Z259" s="9"/>
      <c r="AA259" s="9">
        <v>0</v>
      </c>
      <c r="AB259" s="9"/>
      <c r="AC259" s="9">
        <f t="shared" si="8"/>
        <v>1281147</v>
      </c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</row>
    <row r="260" spans="1:29" ht="12" hidden="1">
      <c r="A260" s="2" t="s">
        <v>323</v>
      </c>
      <c r="C260" s="2" t="s">
        <v>58</v>
      </c>
      <c r="E260" s="9">
        <v>0</v>
      </c>
      <c r="F260" s="9"/>
      <c r="G260" s="9">
        <v>0</v>
      </c>
      <c r="H260" s="9"/>
      <c r="I260" s="9">
        <v>0</v>
      </c>
      <c r="J260" s="9"/>
      <c r="K260" s="9">
        <v>0</v>
      </c>
      <c r="L260" s="9"/>
      <c r="M260" s="9">
        <v>0</v>
      </c>
      <c r="N260" s="9"/>
      <c r="O260" s="9">
        <v>0</v>
      </c>
      <c r="P260" s="9"/>
      <c r="Q260" s="9">
        <v>0</v>
      </c>
      <c r="R260" s="9"/>
      <c r="S260" s="9">
        <v>0</v>
      </c>
      <c r="T260" s="9"/>
      <c r="U260" s="9">
        <v>0</v>
      </c>
      <c r="V260" s="9"/>
      <c r="W260" s="9">
        <v>0</v>
      </c>
      <c r="X260" s="9"/>
      <c r="Y260" s="9">
        <v>0</v>
      </c>
      <c r="Z260" s="9"/>
      <c r="AA260" s="9">
        <v>0</v>
      </c>
      <c r="AB260" s="3"/>
      <c r="AC260" s="3">
        <f t="shared" si="8"/>
        <v>0</v>
      </c>
    </row>
    <row r="261" spans="1:62" s="3" customFormat="1" ht="12">
      <c r="A261" s="38" t="s">
        <v>486</v>
      </c>
      <c r="B261" s="38"/>
      <c r="C261" s="38" t="s">
        <v>548</v>
      </c>
      <c r="D261" s="38"/>
      <c r="E261" s="38">
        <v>581226.36</v>
      </c>
      <c r="F261" s="38"/>
      <c r="G261" s="38">
        <v>167421.73</v>
      </c>
      <c r="H261" s="38"/>
      <c r="I261" s="38">
        <v>197823.12</v>
      </c>
      <c r="J261" s="38"/>
      <c r="K261" s="38">
        <v>268807.91</v>
      </c>
      <c r="L261" s="38"/>
      <c r="M261" s="38">
        <v>33818.88</v>
      </c>
      <c r="N261" s="38"/>
      <c r="O261" s="38">
        <v>3710.11</v>
      </c>
      <c r="P261" s="38"/>
      <c r="Q261" s="38">
        <v>23339.35</v>
      </c>
      <c r="R261" s="38"/>
      <c r="S261" s="38">
        <v>0</v>
      </c>
      <c r="T261" s="38"/>
      <c r="U261" s="38">
        <v>0</v>
      </c>
      <c r="V261" s="38"/>
      <c r="W261" s="38">
        <v>5000</v>
      </c>
      <c r="X261" s="38"/>
      <c r="Y261" s="38">
        <v>0</v>
      </c>
      <c r="Z261" s="38"/>
      <c r="AA261" s="38">
        <v>0</v>
      </c>
      <c r="AB261" s="38"/>
      <c r="AC261" s="3">
        <f t="shared" si="8"/>
        <v>1281147.46</v>
      </c>
      <c r="AD261" s="39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</row>
    <row r="262" spans="1:62" s="3" customFormat="1" ht="12">
      <c r="A262" s="38" t="s">
        <v>211</v>
      </c>
      <c r="B262" s="38"/>
      <c r="C262" s="38" t="s">
        <v>591</v>
      </c>
      <c r="D262" s="38"/>
      <c r="E262" s="38">
        <v>265672.93</v>
      </c>
      <c r="F262" s="38"/>
      <c r="G262" s="38">
        <v>112288.97</v>
      </c>
      <c r="H262" s="38"/>
      <c r="I262" s="38">
        <v>90528.07</v>
      </c>
      <c r="J262" s="38"/>
      <c r="K262" s="38">
        <v>95392.8</v>
      </c>
      <c r="L262" s="38"/>
      <c r="M262" s="38">
        <v>18748.11</v>
      </c>
      <c r="N262" s="38"/>
      <c r="O262" s="38">
        <v>2105.31</v>
      </c>
      <c r="P262" s="38"/>
      <c r="Q262" s="38">
        <v>9709.52</v>
      </c>
      <c r="R262" s="38"/>
      <c r="S262" s="38">
        <v>0</v>
      </c>
      <c r="T262" s="38"/>
      <c r="U262" s="38">
        <v>456.74</v>
      </c>
      <c r="V262" s="38"/>
      <c r="W262" s="38">
        <v>0</v>
      </c>
      <c r="X262" s="38"/>
      <c r="Y262" s="38">
        <v>0</v>
      </c>
      <c r="Z262" s="38"/>
      <c r="AA262" s="38">
        <v>9518.58</v>
      </c>
      <c r="AB262" s="38"/>
      <c r="AC262" s="3">
        <f t="shared" si="8"/>
        <v>604421.03</v>
      </c>
      <c r="AD262" s="39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</row>
    <row r="263" spans="1:62" s="3" customFormat="1" ht="12">
      <c r="A263" s="38" t="s">
        <v>212</v>
      </c>
      <c r="B263" s="38"/>
      <c r="C263" s="38" t="s">
        <v>599</v>
      </c>
      <c r="D263" s="38"/>
      <c r="E263" s="38">
        <v>385080.12</v>
      </c>
      <c r="F263" s="38"/>
      <c r="G263" s="38">
        <v>65736.71</v>
      </c>
      <c r="H263" s="38"/>
      <c r="I263" s="38">
        <v>96390.67</v>
      </c>
      <c r="J263" s="38"/>
      <c r="K263" s="38">
        <v>96554.56</v>
      </c>
      <c r="L263" s="38"/>
      <c r="M263" s="38">
        <v>13627.41</v>
      </c>
      <c r="N263" s="38"/>
      <c r="O263" s="38">
        <v>5997.81</v>
      </c>
      <c r="P263" s="38"/>
      <c r="Q263" s="38">
        <v>3252.46</v>
      </c>
      <c r="R263" s="38"/>
      <c r="S263" s="38">
        <v>0</v>
      </c>
      <c r="T263" s="38"/>
      <c r="U263" s="38">
        <v>0</v>
      </c>
      <c r="V263" s="38"/>
      <c r="W263" s="38">
        <v>125000</v>
      </c>
      <c r="X263" s="38"/>
      <c r="Y263" s="38">
        <v>0</v>
      </c>
      <c r="Z263" s="38"/>
      <c r="AA263" s="38">
        <v>0</v>
      </c>
      <c r="AB263" s="38"/>
      <c r="AC263" s="3">
        <f t="shared" si="8"/>
        <v>791639.7400000001</v>
      </c>
      <c r="AD263" s="39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</row>
    <row r="264" spans="1:62" s="3" customFormat="1" ht="12">
      <c r="A264" s="38" t="s">
        <v>213</v>
      </c>
      <c r="B264" s="38"/>
      <c r="C264" s="38" t="s">
        <v>565</v>
      </c>
      <c r="D264" s="38"/>
      <c r="E264" s="38">
        <v>332698.1</v>
      </c>
      <c r="F264" s="38"/>
      <c r="G264" s="38">
        <v>99763.33</v>
      </c>
      <c r="H264" s="38"/>
      <c r="I264" s="38">
        <v>93305.83</v>
      </c>
      <c r="J264" s="38"/>
      <c r="K264" s="38">
        <v>146622.3</v>
      </c>
      <c r="L264" s="38"/>
      <c r="M264" s="38">
        <v>57192.03</v>
      </c>
      <c r="N264" s="38"/>
      <c r="O264" s="38">
        <v>8141.96</v>
      </c>
      <c r="P264" s="38"/>
      <c r="Q264" s="38">
        <v>13812.18</v>
      </c>
      <c r="R264" s="38"/>
      <c r="S264" s="38">
        <v>0</v>
      </c>
      <c r="T264" s="38"/>
      <c r="U264" s="38">
        <v>0</v>
      </c>
      <c r="V264" s="38"/>
      <c r="W264" s="38">
        <v>0</v>
      </c>
      <c r="X264" s="38"/>
      <c r="Y264" s="38">
        <v>0</v>
      </c>
      <c r="Z264" s="38"/>
      <c r="AA264" s="38">
        <v>0</v>
      </c>
      <c r="AB264" s="38"/>
      <c r="AC264" s="3">
        <f t="shared" si="8"/>
        <v>751535.7300000001</v>
      </c>
      <c r="AD264" s="39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</row>
    <row r="265" spans="1:63" s="3" customFormat="1" ht="12">
      <c r="A265" s="8" t="s">
        <v>214</v>
      </c>
      <c r="B265" s="8"/>
      <c r="C265" s="8" t="s">
        <v>215</v>
      </c>
      <c r="D265" s="8"/>
      <c r="E265" s="9">
        <v>691095</v>
      </c>
      <c r="F265" s="9"/>
      <c r="G265" s="9">
        <v>158098</v>
      </c>
      <c r="H265" s="9"/>
      <c r="I265" s="9">
        <v>127843</v>
      </c>
      <c r="J265" s="9"/>
      <c r="K265" s="9">
        <v>252210</v>
      </c>
      <c r="L265" s="9"/>
      <c r="M265" s="9">
        <v>31296</v>
      </c>
      <c r="N265" s="9"/>
      <c r="O265" s="9">
        <v>69491</v>
      </c>
      <c r="P265" s="9"/>
      <c r="Q265" s="9">
        <v>75146</v>
      </c>
      <c r="R265" s="9"/>
      <c r="S265" s="9">
        <v>0</v>
      </c>
      <c r="T265" s="9"/>
      <c r="U265" s="9">
        <v>0</v>
      </c>
      <c r="V265" s="9"/>
      <c r="W265" s="9">
        <v>165000</v>
      </c>
      <c r="X265" s="9"/>
      <c r="Y265" s="9">
        <v>0</v>
      </c>
      <c r="Z265" s="9"/>
      <c r="AA265" s="9">
        <v>0</v>
      </c>
      <c r="AB265" s="9"/>
      <c r="AC265" s="9">
        <f t="shared" si="8"/>
        <v>1570179</v>
      </c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</row>
    <row r="266" spans="1:62" s="3" customFormat="1" ht="12">
      <c r="A266" s="38" t="s">
        <v>216</v>
      </c>
      <c r="B266" s="38"/>
      <c r="C266" s="38" t="s">
        <v>599</v>
      </c>
      <c r="D266" s="38"/>
      <c r="E266" s="38">
        <v>613126.54</v>
      </c>
      <c r="F266" s="38"/>
      <c r="G266" s="38">
        <v>216133.17</v>
      </c>
      <c r="H266" s="38"/>
      <c r="I266" s="38">
        <v>191180.14</v>
      </c>
      <c r="J266" s="38"/>
      <c r="K266" s="38">
        <v>276714.46</v>
      </c>
      <c r="L266" s="38"/>
      <c r="M266" s="38">
        <v>34521.78</v>
      </c>
      <c r="N266" s="38"/>
      <c r="O266" s="38">
        <v>4607.68</v>
      </c>
      <c r="P266" s="38"/>
      <c r="Q266" s="38">
        <v>54339.17</v>
      </c>
      <c r="R266" s="38"/>
      <c r="S266" s="38">
        <v>0</v>
      </c>
      <c r="T266" s="38"/>
      <c r="U266" s="38">
        <v>0</v>
      </c>
      <c r="V266" s="38"/>
      <c r="W266" s="38">
        <v>0</v>
      </c>
      <c r="X266" s="38"/>
      <c r="Y266" s="38">
        <v>0</v>
      </c>
      <c r="Z266" s="38"/>
      <c r="AA266" s="38">
        <v>0</v>
      </c>
      <c r="AB266" s="38"/>
      <c r="AC266" s="3">
        <f t="shared" si="8"/>
        <v>1390622.94</v>
      </c>
      <c r="AD266" s="39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</row>
    <row r="267" spans="1:63" s="12" customFormat="1" ht="12">
      <c r="A267" s="38" t="s">
        <v>528</v>
      </c>
      <c r="B267" s="38"/>
      <c r="C267" s="38" t="s">
        <v>594</v>
      </c>
      <c r="D267" s="38"/>
      <c r="E267" s="38">
        <v>1139795.96</v>
      </c>
      <c r="F267" s="38"/>
      <c r="G267" s="38">
        <v>247414.78</v>
      </c>
      <c r="H267" s="38"/>
      <c r="I267" s="38">
        <v>281981.46</v>
      </c>
      <c r="J267" s="38"/>
      <c r="K267" s="38">
        <v>466848.97</v>
      </c>
      <c r="L267" s="38"/>
      <c r="M267" s="38">
        <v>54268.52</v>
      </c>
      <c r="N267" s="38"/>
      <c r="O267" s="38">
        <v>11992.97</v>
      </c>
      <c r="P267" s="38"/>
      <c r="Q267" s="38">
        <v>95059.98</v>
      </c>
      <c r="R267" s="38"/>
      <c r="S267" s="38">
        <v>0</v>
      </c>
      <c r="T267" s="38"/>
      <c r="U267" s="38">
        <v>0</v>
      </c>
      <c r="V267" s="38"/>
      <c r="W267" s="38">
        <v>112000</v>
      </c>
      <c r="X267" s="38"/>
      <c r="Y267" s="38">
        <v>0</v>
      </c>
      <c r="Z267" s="38"/>
      <c r="AA267" s="38">
        <v>0</v>
      </c>
      <c r="AB267" s="38"/>
      <c r="AC267" s="3">
        <f t="shared" si="8"/>
        <v>2409362.64</v>
      </c>
      <c r="AD267" s="39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3"/>
    </row>
    <row r="268" spans="1:63" s="12" customFormat="1" ht="12">
      <c r="A268" s="38" t="s">
        <v>218</v>
      </c>
      <c r="B268" s="38"/>
      <c r="C268" s="38" t="s">
        <v>564</v>
      </c>
      <c r="D268" s="38"/>
      <c r="E268" s="38">
        <v>146538.38</v>
      </c>
      <c r="F268" s="38"/>
      <c r="G268" s="38">
        <v>65761.58</v>
      </c>
      <c r="H268" s="38"/>
      <c r="I268" s="38">
        <v>32081.67</v>
      </c>
      <c r="J268" s="38"/>
      <c r="K268" s="38">
        <v>31127.04</v>
      </c>
      <c r="L268" s="38"/>
      <c r="M268" s="38">
        <v>7244.91</v>
      </c>
      <c r="N268" s="38"/>
      <c r="O268" s="38">
        <v>2852</v>
      </c>
      <c r="P268" s="38"/>
      <c r="Q268" s="38">
        <v>4618.04</v>
      </c>
      <c r="R268" s="38"/>
      <c r="S268" s="38">
        <v>0</v>
      </c>
      <c r="T268" s="38"/>
      <c r="U268" s="38">
        <v>0</v>
      </c>
      <c r="V268" s="38"/>
      <c r="W268" s="38">
        <v>0</v>
      </c>
      <c r="X268" s="38"/>
      <c r="Y268" s="38">
        <v>0</v>
      </c>
      <c r="Z268" s="38"/>
      <c r="AA268" s="38">
        <v>0</v>
      </c>
      <c r="AB268" s="38"/>
      <c r="AC268" s="3">
        <f t="shared" si="8"/>
        <v>290223.61999999994</v>
      </c>
      <c r="AD268" s="39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3"/>
    </row>
    <row r="269" spans="1:63" s="12" customFormat="1" ht="12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45" t="s">
        <v>8</v>
      </c>
      <c r="AD269" s="39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3"/>
    </row>
    <row r="270" spans="1:63" s="4" customFormat="1" ht="12">
      <c r="A270" s="20" t="s">
        <v>500</v>
      </c>
      <c r="B270" s="20"/>
      <c r="C270" s="20" t="s">
        <v>59</v>
      </c>
      <c r="D270" s="20"/>
      <c r="E270" s="20">
        <v>560340</v>
      </c>
      <c r="F270" s="20"/>
      <c r="G270" s="20">
        <v>157270</v>
      </c>
      <c r="H270" s="20"/>
      <c r="I270" s="20">
        <v>187943</v>
      </c>
      <c r="J270" s="20"/>
      <c r="K270" s="20">
        <v>282741</v>
      </c>
      <c r="L270" s="20"/>
      <c r="M270" s="20">
        <v>41754</v>
      </c>
      <c r="N270" s="20"/>
      <c r="O270" s="20">
        <v>10012</v>
      </c>
      <c r="P270" s="20"/>
      <c r="Q270" s="20">
        <v>33972</v>
      </c>
      <c r="R270" s="20"/>
      <c r="S270" s="20">
        <v>0</v>
      </c>
      <c r="T270" s="20"/>
      <c r="U270" s="20">
        <v>0</v>
      </c>
      <c r="V270" s="20"/>
      <c r="W270" s="20">
        <v>0</v>
      </c>
      <c r="X270" s="20"/>
      <c r="Y270" s="20">
        <v>0</v>
      </c>
      <c r="Z270" s="20"/>
      <c r="AA270" s="20">
        <v>0</v>
      </c>
      <c r="AB270" s="20"/>
      <c r="AC270" s="20">
        <f aca="true" t="shared" si="9" ref="AC270:AC301">SUM(E270:AA270)</f>
        <v>1274032</v>
      </c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</row>
    <row r="271" spans="1:62" s="3" customFormat="1" ht="12">
      <c r="A271" s="38" t="s">
        <v>219</v>
      </c>
      <c r="B271" s="38"/>
      <c r="C271" s="38" t="s">
        <v>552</v>
      </c>
      <c r="D271" s="38"/>
      <c r="E271" s="38">
        <v>183739.02</v>
      </c>
      <c r="F271" s="38"/>
      <c r="G271" s="38">
        <v>70191.89</v>
      </c>
      <c r="H271" s="38"/>
      <c r="I271" s="38">
        <v>33018</v>
      </c>
      <c r="J271" s="38"/>
      <c r="K271" s="38">
        <v>39889.79</v>
      </c>
      <c r="L271" s="38"/>
      <c r="M271" s="38">
        <v>7057.74</v>
      </c>
      <c r="N271" s="38"/>
      <c r="O271" s="38">
        <v>1500</v>
      </c>
      <c r="P271" s="38"/>
      <c r="Q271" s="38">
        <v>7490.7</v>
      </c>
      <c r="R271" s="38"/>
      <c r="S271" s="38">
        <v>0</v>
      </c>
      <c r="T271" s="38"/>
      <c r="U271" s="38">
        <v>0</v>
      </c>
      <c r="V271" s="38"/>
      <c r="W271" s="38">
        <v>0</v>
      </c>
      <c r="X271" s="38"/>
      <c r="Y271" s="38">
        <v>0</v>
      </c>
      <c r="Z271" s="38"/>
      <c r="AA271" s="38">
        <v>2500</v>
      </c>
      <c r="AB271" s="38"/>
      <c r="AC271" s="3">
        <f t="shared" si="9"/>
        <v>345387.13999999996</v>
      </c>
      <c r="AD271" s="39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</row>
    <row r="272" spans="1:63" s="3" customFormat="1" ht="12">
      <c r="A272" s="8" t="s">
        <v>220</v>
      </c>
      <c r="B272" s="8"/>
      <c r="C272" s="8" t="s">
        <v>21</v>
      </c>
      <c r="D272" s="8"/>
      <c r="E272" s="9">
        <v>3888613</v>
      </c>
      <c r="F272" s="9"/>
      <c r="G272" s="9">
        <v>1021878</v>
      </c>
      <c r="H272" s="9"/>
      <c r="I272" s="9">
        <v>1147819</v>
      </c>
      <c r="J272" s="9"/>
      <c r="K272" s="9">
        <v>1543945</v>
      </c>
      <c r="L272" s="9"/>
      <c r="M272" s="9">
        <v>216615</v>
      </c>
      <c r="N272" s="9"/>
      <c r="O272" s="9">
        <v>26214</v>
      </c>
      <c r="P272" s="9"/>
      <c r="Q272" s="9">
        <v>0</v>
      </c>
      <c r="R272" s="9"/>
      <c r="S272" s="9">
        <v>0</v>
      </c>
      <c r="T272" s="9"/>
      <c r="U272" s="9">
        <v>0</v>
      </c>
      <c r="V272" s="9"/>
      <c r="W272" s="9">
        <v>0</v>
      </c>
      <c r="X272" s="9"/>
      <c r="Y272" s="9">
        <v>0</v>
      </c>
      <c r="Z272" s="9"/>
      <c r="AA272" s="9">
        <v>0</v>
      </c>
      <c r="AB272" s="9"/>
      <c r="AC272" s="9">
        <f t="shared" si="9"/>
        <v>7845084</v>
      </c>
      <c r="AD272" s="8"/>
      <c r="AE272" s="9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</row>
    <row r="273" spans="1:62" s="3" customFormat="1" ht="12">
      <c r="A273" s="38" t="s">
        <v>576</v>
      </c>
      <c r="B273" s="38"/>
      <c r="C273" s="38" t="s">
        <v>577</v>
      </c>
      <c r="D273" s="38"/>
      <c r="E273" s="38">
        <v>439610.2</v>
      </c>
      <c r="F273" s="38"/>
      <c r="G273" s="38">
        <v>127069.25</v>
      </c>
      <c r="H273" s="38"/>
      <c r="I273" s="38">
        <v>97666.71</v>
      </c>
      <c r="J273" s="38"/>
      <c r="K273" s="38">
        <v>136379.5</v>
      </c>
      <c r="L273" s="38"/>
      <c r="M273" s="38">
        <v>18707.08</v>
      </c>
      <c r="N273" s="38"/>
      <c r="O273" s="38">
        <v>4442.95</v>
      </c>
      <c r="P273" s="38"/>
      <c r="Q273" s="38">
        <v>9698.76</v>
      </c>
      <c r="R273" s="38"/>
      <c r="S273" s="38">
        <v>0</v>
      </c>
      <c r="T273" s="38"/>
      <c r="U273" s="38">
        <v>0</v>
      </c>
      <c r="V273" s="38"/>
      <c r="W273" s="38">
        <v>175000</v>
      </c>
      <c r="X273" s="38"/>
      <c r="Y273" s="38">
        <v>0</v>
      </c>
      <c r="Z273" s="38"/>
      <c r="AA273" s="38">
        <v>0</v>
      </c>
      <c r="AB273" s="38"/>
      <c r="AC273" s="3">
        <f t="shared" si="9"/>
        <v>1008574.4499999998</v>
      </c>
      <c r="AD273" s="39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</row>
    <row r="274" spans="1:62" s="3" customFormat="1" ht="12">
      <c r="A274" s="38" t="s">
        <v>542</v>
      </c>
      <c r="B274" s="38"/>
      <c r="C274" s="38" t="s">
        <v>579</v>
      </c>
      <c r="D274" s="38"/>
      <c r="E274" s="38">
        <v>504387.7</v>
      </c>
      <c r="F274" s="38"/>
      <c r="G274" s="38">
        <v>145933.86</v>
      </c>
      <c r="H274" s="38"/>
      <c r="I274" s="38">
        <v>145652.95</v>
      </c>
      <c r="J274" s="38"/>
      <c r="K274" s="38">
        <v>83733.28</v>
      </c>
      <c r="L274" s="38"/>
      <c r="M274" s="38">
        <v>24798.85</v>
      </c>
      <c r="N274" s="38"/>
      <c r="O274" s="38">
        <v>109.4</v>
      </c>
      <c r="P274" s="38"/>
      <c r="Q274" s="38">
        <v>10962.27</v>
      </c>
      <c r="R274" s="38"/>
      <c r="S274" s="38">
        <v>0</v>
      </c>
      <c r="T274" s="38"/>
      <c r="U274" s="38">
        <v>0</v>
      </c>
      <c r="V274" s="38"/>
      <c r="W274" s="38">
        <v>75000</v>
      </c>
      <c r="X274" s="38"/>
      <c r="Y274" s="38">
        <v>0</v>
      </c>
      <c r="Z274" s="38"/>
      <c r="AA274" s="38">
        <v>0</v>
      </c>
      <c r="AB274" s="38"/>
      <c r="AC274" s="3">
        <f t="shared" si="9"/>
        <v>990578.31</v>
      </c>
      <c r="AD274" s="39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</row>
    <row r="275" spans="1:63" s="3" customFormat="1" ht="12">
      <c r="A275" s="8" t="s">
        <v>222</v>
      </c>
      <c r="B275" s="8"/>
      <c r="C275" s="8" t="s">
        <v>11</v>
      </c>
      <c r="D275" s="8"/>
      <c r="E275" s="9">
        <v>728559</v>
      </c>
      <c r="F275" s="9"/>
      <c r="G275" s="9">
        <v>0</v>
      </c>
      <c r="H275" s="9"/>
      <c r="I275" s="9">
        <f>5610095-728559-107305</f>
        <v>4774231</v>
      </c>
      <c r="J275" s="9"/>
      <c r="K275" s="9">
        <v>0</v>
      </c>
      <c r="L275" s="9"/>
      <c r="M275" s="9">
        <v>0</v>
      </c>
      <c r="N275" s="9"/>
      <c r="O275" s="9">
        <v>0</v>
      </c>
      <c r="P275" s="9"/>
      <c r="Q275" s="9">
        <v>107305</v>
      </c>
      <c r="R275" s="9"/>
      <c r="S275" s="9">
        <v>0</v>
      </c>
      <c r="T275" s="9"/>
      <c r="U275" s="9">
        <v>0</v>
      </c>
      <c r="V275" s="9"/>
      <c r="W275" s="9">
        <v>250000</v>
      </c>
      <c r="X275" s="9"/>
      <c r="Y275" s="9">
        <v>0</v>
      </c>
      <c r="Z275" s="9"/>
      <c r="AA275" s="9">
        <v>0</v>
      </c>
      <c r="AB275" s="9"/>
      <c r="AC275" s="9">
        <f t="shared" si="9"/>
        <v>5860095</v>
      </c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</row>
    <row r="276" spans="1:62" s="3" customFormat="1" ht="12">
      <c r="A276" s="38" t="s">
        <v>223</v>
      </c>
      <c r="B276" s="38"/>
      <c r="C276" s="38" t="s">
        <v>560</v>
      </c>
      <c r="D276" s="38"/>
      <c r="E276" s="38">
        <v>362974.74</v>
      </c>
      <c r="F276" s="38"/>
      <c r="G276" s="38">
        <v>62073.6</v>
      </c>
      <c r="H276" s="38"/>
      <c r="I276" s="38">
        <v>87917.41</v>
      </c>
      <c r="J276" s="38"/>
      <c r="K276" s="38">
        <v>114078.66</v>
      </c>
      <c r="L276" s="38"/>
      <c r="M276" s="38">
        <v>11059.04</v>
      </c>
      <c r="N276" s="38"/>
      <c r="O276" s="38">
        <v>6166.58</v>
      </c>
      <c r="P276" s="38"/>
      <c r="Q276" s="38">
        <v>0</v>
      </c>
      <c r="R276" s="38"/>
      <c r="S276" s="38">
        <v>0</v>
      </c>
      <c r="T276" s="38"/>
      <c r="U276" s="38">
        <v>0</v>
      </c>
      <c r="V276" s="38"/>
      <c r="W276" s="38">
        <v>0</v>
      </c>
      <c r="X276" s="38"/>
      <c r="Y276" s="38">
        <v>0</v>
      </c>
      <c r="Z276" s="38"/>
      <c r="AA276" s="38">
        <v>0</v>
      </c>
      <c r="AB276" s="38"/>
      <c r="AC276" s="3">
        <f t="shared" si="9"/>
        <v>644270.03</v>
      </c>
      <c r="AD276" s="39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</row>
    <row r="277" spans="1:62" s="3" customFormat="1" ht="12">
      <c r="A277" s="38" t="s">
        <v>224</v>
      </c>
      <c r="B277" s="38"/>
      <c r="C277" s="38" t="s">
        <v>580</v>
      </c>
      <c r="D277" s="38"/>
      <c r="E277" s="38">
        <v>248820.64</v>
      </c>
      <c r="F277" s="38"/>
      <c r="G277" s="38">
        <v>62066.6</v>
      </c>
      <c r="H277" s="38"/>
      <c r="I277" s="38">
        <v>76540.81</v>
      </c>
      <c r="J277" s="38"/>
      <c r="K277" s="38">
        <v>61564.11</v>
      </c>
      <c r="L277" s="38"/>
      <c r="M277" s="38">
        <v>6575.09</v>
      </c>
      <c r="N277" s="38"/>
      <c r="O277" s="38">
        <v>1522.14</v>
      </c>
      <c r="P277" s="38"/>
      <c r="Q277" s="38">
        <v>4955.47</v>
      </c>
      <c r="R277" s="38"/>
      <c r="S277" s="38">
        <v>0</v>
      </c>
      <c r="T277" s="38"/>
      <c r="U277" s="38">
        <v>0</v>
      </c>
      <c r="V277" s="38"/>
      <c r="W277" s="38">
        <v>0</v>
      </c>
      <c r="X277" s="38"/>
      <c r="Y277" s="38">
        <v>0</v>
      </c>
      <c r="Z277" s="38"/>
      <c r="AA277" s="38">
        <v>0</v>
      </c>
      <c r="AB277" s="38"/>
      <c r="AC277" s="3">
        <f t="shared" si="9"/>
        <v>462044.86</v>
      </c>
      <c r="AD277" s="39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</row>
    <row r="278" spans="1:62" s="3" customFormat="1" ht="12">
      <c r="A278" s="38" t="s">
        <v>225</v>
      </c>
      <c r="B278" s="38"/>
      <c r="C278" s="38" t="s">
        <v>594</v>
      </c>
      <c r="D278" s="38"/>
      <c r="E278" s="38">
        <v>426921.79</v>
      </c>
      <c r="F278" s="38"/>
      <c r="G278" s="38">
        <v>129448.72</v>
      </c>
      <c r="H278" s="38"/>
      <c r="I278" s="38">
        <v>78849.3</v>
      </c>
      <c r="J278" s="38"/>
      <c r="K278" s="38">
        <v>129134.08</v>
      </c>
      <c r="L278" s="38"/>
      <c r="M278" s="38">
        <v>10323.06</v>
      </c>
      <c r="N278" s="38"/>
      <c r="O278" s="38">
        <v>25285.96</v>
      </c>
      <c r="P278" s="38"/>
      <c r="Q278" s="38">
        <v>15951.69</v>
      </c>
      <c r="R278" s="38"/>
      <c r="S278" s="38">
        <v>0</v>
      </c>
      <c r="T278" s="38"/>
      <c r="U278" s="38">
        <v>0</v>
      </c>
      <c r="V278" s="38"/>
      <c r="W278" s="38">
        <v>0</v>
      </c>
      <c r="X278" s="38"/>
      <c r="Y278" s="38">
        <v>0</v>
      </c>
      <c r="Z278" s="38"/>
      <c r="AA278" s="38">
        <v>0</v>
      </c>
      <c r="AB278" s="38"/>
      <c r="AC278" s="3">
        <f t="shared" si="9"/>
        <v>815914.6</v>
      </c>
      <c r="AD278" s="39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</row>
    <row r="279" spans="1:62" s="3" customFormat="1" ht="12">
      <c r="A279" s="38" t="s">
        <v>226</v>
      </c>
      <c r="B279" s="38"/>
      <c r="C279" s="38" t="s">
        <v>601</v>
      </c>
      <c r="D279" s="38"/>
      <c r="E279" s="38">
        <v>118299.59</v>
      </c>
      <c r="F279" s="38"/>
      <c r="G279" s="38">
        <v>18109.96</v>
      </c>
      <c r="H279" s="38"/>
      <c r="I279" s="38">
        <v>42832.61</v>
      </c>
      <c r="J279" s="38"/>
      <c r="K279" s="38">
        <v>62917.08</v>
      </c>
      <c r="L279" s="38"/>
      <c r="M279" s="38">
        <v>9441.84</v>
      </c>
      <c r="N279" s="38"/>
      <c r="O279" s="38">
        <v>3689.35</v>
      </c>
      <c r="P279" s="38"/>
      <c r="Q279" s="38">
        <v>3855.51</v>
      </c>
      <c r="R279" s="38"/>
      <c r="S279" s="38">
        <v>0</v>
      </c>
      <c r="T279" s="38"/>
      <c r="U279" s="38">
        <v>0</v>
      </c>
      <c r="V279" s="38"/>
      <c r="W279" s="38">
        <v>0</v>
      </c>
      <c r="X279" s="38"/>
      <c r="Y279" s="38">
        <v>0</v>
      </c>
      <c r="Z279" s="38"/>
      <c r="AA279" s="38">
        <v>0</v>
      </c>
      <c r="AB279" s="38"/>
      <c r="AC279" s="3">
        <f t="shared" si="9"/>
        <v>259145.94</v>
      </c>
      <c r="AD279" s="39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</row>
    <row r="280" spans="1:62" s="3" customFormat="1" ht="12">
      <c r="A280" s="38" t="s">
        <v>581</v>
      </c>
      <c r="B280" s="38"/>
      <c r="C280" s="38" t="s">
        <v>582</v>
      </c>
      <c r="D280" s="38"/>
      <c r="E280" s="38">
        <v>248296.8</v>
      </c>
      <c r="F280" s="38"/>
      <c r="G280" s="38">
        <v>94189.15</v>
      </c>
      <c r="H280" s="38"/>
      <c r="I280" s="38">
        <v>96191.56</v>
      </c>
      <c r="J280" s="38"/>
      <c r="K280" s="38">
        <v>95841.07</v>
      </c>
      <c r="L280" s="38"/>
      <c r="M280" s="38">
        <v>12916.27</v>
      </c>
      <c r="N280" s="38"/>
      <c r="O280" s="38">
        <v>14401</v>
      </c>
      <c r="P280" s="38"/>
      <c r="Q280" s="38">
        <v>31471.54</v>
      </c>
      <c r="R280" s="38"/>
      <c r="S280" s="38">
        <v>0</v>
      </c>
      <c r="T280" s="38"/>
      <c r="U280" s="38">
        <v>0</v>
      </c>
      <c r="V280" s="38"/>
      <c r="W280" s="38">
        <v>0</v>
      </c>
      <c r="X280" s="38"/>
      <c r="Y280" s="38">
        <v>0</v>
      </c>
      <c r="Z280" s="38"/>
      <c r="AA280" s="38">
        <v>0</v>
      </c>
      <c r="AB280" s="38"/>
      <c r="AC280" s="3">
        <f t="shared" si="9"/>
        <v>593307.39</v>
      </c>
      <c r="AD280" s="39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</row>
    <row r="281" spans="1:63" s="3" customFormat="1" ht="12">
      <c r="A281" s="8" t="s">
        <v>228</v>
      </c>
      <c r="B281" s="8"/>
      <c r="C281" s="8" t="s">
        <v>95</v>
      </c>
      <c r="D281" s="8"/>
      <c r="E281" s="9">
        <v>73534</v>
      </c>
      <c r="F281" s="9"/>
      <c r="G281" s="9">
        <v>11007</v>
      </c>
      <c r="H281" s="9"/>
      <c r="I281" s="9">
        <v>29209</v>
      </c>
      <c r="J281" s="9"/>
      <c r="K281" s="9">
        <v>17082</v>
      </c>
      <c r="L281" s="9"/>
      <c r="M281" s="9">
        <v>5921</v>
      </c>
      <c r="N281" s="9"/>
      <c r="O281" s="9">
        <v>2330</v>
      </c>
      <c r="P281" s="9"/>
      <c r="Q281" s="9">
        <v>0</v>
      </c>
      <c r="R281" s="9"/>
      <c r="S281" s="9">
        <v>0</v>
      </c>
      <c r="T281" s="9"/>
      <c r="U281" s="9">
        <v>0</v>
      </c>
      <c r="V281" s="9"/>
      <c r="W281" s="9">
        <v>0</v>
      </c>
      <c r="X281" s="9"/>
      <c r="Y281" s="9">
        <v>0</v>
      </c>
      <c r="Z281" s="9"/>
      <c r="AA281" s="9">
        <v>0</v>
      </c>
      <c r="AB281" s="9"/>
      <c r="AC281" s="9">
        <f t="shared" si="9"/>
        <v>139083</v>
      </c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</row>
    <row r="282" spans="1:63" s="3" customFormat="1" ht="12">
      <c r="A282" s="8" t="s">
        <v>229</v>
      </c>
      <c r="B282" s="8"/>
      <c r="C282" s="8" t="s">
        <v>230</v>
      </c>
      <c r="D282" s="8"/>
      <c r="E282" s="9">
        <v>116900</v>
      </c>
      <c r="F282" s="9"/>
      <c r="G282" s="9">
        <v>18296</v>
      </c>
      <c r="H282" s="9"/>
      <c r="I282" s="9">
        <v>47163</v>
      </c>
      <c r="J282" s="9"/>
      <c r="K282" s="9">
        <v>48110</v>
      </c>
      <c r="L282" s="9"/>
      <c r="M282" s="9">
        <v>9964</v>
      </c>
      <c r="N282" s="9"/>
      <c r="O282" s="9">
        <v>4388</v>
      </c>
      <c r="P282" s="9"/>
      <c r="Q282" s="9">
        <v>6603</v>
      </c>
      <c r="R282" s="9"/>
      <c r="S282" s="9">
        <v>0</v>
      </c>
      <c r="T282" s="9"/>
      <c r="U282" s="9">
        <v>0</v>
      </c>
      <c r="V282" s="9"/>
      <c r="W282" s="9">
        <v>0</v>
      </c>
      <c r="X282" s="9"/>
      <c r="Y282" s="9">
        <v>0</v>
      </c>
      <c r="Z282" s="9"/>
      <c r="AA282" s="9">
        <v>0</v>
      </c>
      <c r="AB282" s="9"/>
      <c r="AC282" s="9">
        <f t="shared" si="9"/>
        <v>251424</v>
      </c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</row>
    <row r="283" spans="1:63" s="3" customFormat="1" ht="12">
      <c r="A283" s="8" t="s">
        <v>231</v>
      </c>
      <c r="B283" s="8"/>
      <c r="C283" s="8" t="s">
        <v>16</v>
      </c>
      <c r="D283" s="8"/>
      <c r="E283" s="9">
        <v>1249403</v>
      </c>
      <c r="F283" s="9"/>
      <c r="G283" s="9">
        <v>367535</v>
      </c>
      <c r="H283" s="9"/>
      <c r="I283" s="9">
        <v>384988</v>
      </c>
      <c r="J283" s="9"/>
      <c r="K283" s="9">
        <v>593360</v>
      </c>
      <c r="L283" s="9"/>
      <c r="M283" s="9">
        <v>61175</v>
      </c>
      <c r="N283" s="9"/>
      <c r="O283" s="9">
        <v>12346</v>
      </c>
      <c r="P283" s="9"/>
      <c r="Q283" s="9">
        <v>24158</v>
      </c>
      <c r="R283" s="9"/>
      <c r="S283" s="9">
        <v>0</v>
      </c>
      <c r="T283" s="9"/>
      <c r="U283" s="9">
        <v>0</v>
      </c>
      <c r="V283" s="9"/>
      <c r="W283" s="9">
        <v>350000</v>
      </c>
      <c r="X283" s="9"/>
      <c r="Y283" s="9">
        <v>0</v>
      </c>
      <c r="Z283" s="9"/>
      <c r="AA283" s="9">
        <v>0</v>
      </c>
      <c r="AB283" s="9"/>
      <c r="AC283" s="9">
        <f t="shared" si="9"/>
        <v>3042965</v>
      </c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</row>
    <row r="284" spans="1:63" s="3" customFormat="1" ht="12">
      <c r="A284" s="8" t="s">
        <v>232</v>
      </c>
      <c r="B284" s="8"/>
      <c r="C284" s="8" t="s">
        <v>71</v>
      </c>
      <c r="D284" s="8"/>
      <c r="E284" s="9">
        <v>190795</v>
      </c>
      <c r="F284" s="9"/>
      <c r="G284" s="9">
        <v>35210</v>
      </c>
      <c r="H284" s="9"/>
      <c r="I284" s="9">
        <v>92166</v>
      </c>
      <c r="J284" s="9"/>
      <c r="K284" s="9">
        <v>55540</v>
      </c>
      <c r="L284" s="9"/>
      <c r="M284" s="9">
        <v>6209</v>
      </c>
      <c r="N284" s="9"/>
      <c r="O284" s="9">
        <v>4238</v>
      </c>
      <c r="P284" s="9"/>
      <c r="Q284" s="9">
        <v>9722</v>
      </c>
      <c r="R284" s="9"/>
      <c r="S284" s="9">
        <v>0</v>
      </c>
      <c r="T284" s="9"/>
      <c r="U284" s="9">
        <v>0</v>
      </c>
      <c r="V284" s="9"/>
      <c r="W284" s="9">
        <v>0</v>
      </c>
      <c r="X284" s="9"/>
      <c r="Y284" s="9">
        <v>0</v>
      </c>
      <c r="Z284" s="9"/>
      <c r="AA284" s="9">
        <v>0</v>
      </c>
      <c r="AB284" s="9"/>
      <c r="AC284" s="9">
        <f t="shared" si="9"/>
        <v>393880</v>
      </c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</row>
    <row r="285" spans="1:62" s="3" customFormat="1" ht="12">
      <c r="A285" s="38" t="s">
        <v>233</v>
      </c>
      <c r="B285" s="38"/>
      <c r="C285" s="38" t="s">
        <v>575</v>
      </c>
      <c r="D285" s="38"/>
      <c r="E285" s="38">
        <v>122146.57</v>
      </c>
      <c r="F285" s="38"/>
      <c r="G285" s="38">
        <v>34821.84</v>
      </c>
      <c r="H285" s="38"/>
      <c r="I285" s="38">
        <v>56239.61</v>
      </c>
      <c r="J285" s="38"/>
      <c r="K285" s="38">
        <v>43053.29</v>
      </c>
      <c r="L285" s="38"/>
      <c r="M285" s="38">
        <v>6745.68</v>
      </c>
      <c r="N285" s="38"/>
      <c r="O285" s="38">
        <v>5489.64</v>
      </c>
      <c r="P285" s="38"/>
      <c r="Q285" s="38">
        <v>13.64</v>
      </c>
      <c r="R285" s="38"/>
      <c r="S285" s="38">
        <v>0</v>
      </c>
      <c r="T285" s="38"/>
      <c r="U285" s="38">
        <v>0</v>
      </c>
      <c r="V285" s="38"/>
      <c r="W285" s="38">
        <v>0</v>
      </c>
      <c r="X285" s="38"/>
      <c r="Y285" s="38">
        <v>0</v>
      </c>
      <c r="Z285" s="38"/>
      <c r="AA285" s="38">
        <v>0</v>
      </c>
      <c r="AB285" s="38"/>
      <c r="AC285" s="3">
        <f t="shared" si="9"/>
        <v>268510.2700000001</v>
      </c>
      <c r="AD285" s="39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</row>
    <row r="286" spans="1:63" s="3" customFormat="1" ht="12">
      <c r="A286" s="8" t="s">
        <v>487</v>
      </c>
      <c r="B286" s="8"/>
      <c r="C286" s="8" t="s">
        <v>17</v>
      </c>
      <c r="D286" s="8"/>
      <c r="E286" s="9">
        <v>0</v>
      </c>
      <c r="F286" s="9"/>
      <c r="G286" s="9">
        <v>0</v>
      </c>
      <c r="H286" s="9"/>
      <c r="I286" s="9">
        <v>0</v>
      </c>
      <c r="J286" s="9"/>
      <c r="K286" s="9">
        <v>1903877</v>
      </c>
      <c r="L286" s="9"/>
      <c r="M286" s="9">
        <v>0</v>
      </c>
      <c r="N286" s="9"/>
      <c r="O286" s="9">
        <v>0</v>
      </c>
      <c r="P286" s="9"/>
      <c r="Q286" s="9">
        <v>0</v>
      </c>
      <c r="R286" s="9"/>
      <c r="S286" s="9">
        <v>0</v>
      </c>
      <c r="T286" s="9"/>
      <c r="U286" s="9">
        <v>0</v>
      </c>
      <c r="V286" s="9"/>
      <c r="W286" s="9">
        <v>30058</v>
      </c>
      <c r="X286" s="9"/>
      <c r="Y286" s="9">
        <v>0</v>
      </c>
      <c r="Z286" s="9"/>
      <c r="AA286" s="9">
        <v>0</v>
      </c>
      <c r="AB286" s="9"/>
      <c r="AC286" s="9">
        <f t="shared" si="9"/>
        <v>1933935</v>
      </c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</row>
    <row r="287" spans="1:63" s="3" customFormat="1" ht="12">
      <c r="A287" s="8" t="s">
        <v>234</v>
      </c>
      <c r="B287" s="8"/>
      <c r="C287" s="8" t="s">
        <v>235</v>
      </c>
      <c r="D287" s="8"/>
      <c r="E287" s="9">
        <v>0</v>
      </c>
      <c r="F287" s="9"/>
      <c r="G287" s="9">
        <v>0</v>
      </c>
      <c r="H287" s="9"/>
      <c r="I287" s="9">
        <f>416188+2273350</f>
        <v>2689538</v>
      </c>
      <c r="J287" s="9"/>
      <c r="K287" s="9">
        <v>654991</v>
      </c>
      <c r="L287" s="9"/>
      <c r="M287" s="9">
        <v>0</v>
      </c>
      <c r="N287" s="9"/>
      <c r="O287" s="9">
        <v>0</v>
      </c>
      <c r="P287" s="9"/>
      <c r="Q287" s="9">
        <v>38683</v>
      </c>
      <c r="R287" s="9"/>
      <c r="S287" s="9">
        <v>0</v>
      </c>
      <c r="T287" s="9"/>
      <c r="U287" s="9">
        <v>0</v>
      </c>
      <c r="V287" s="9"/>
      <c r="W287" s="9">
        <v>70787</v>
      </c>
      <c r="X287" s="9"/>
      <c r="Y287" s="9">
        <v>0</v>
      </c>
      <c r="Z287" s="9"/>
      <c r="AA287" s="9">
        <v>0</v>
      </c>
      <c r="AB287" s="9"/>
      <c r="AC287" s="9">
        <f t="shared" si="9"/>
        <v>3453999</v>
      </c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</row>
    <row r="288" spans="1:63" s="3" customFormat="1" ht="12">
      <c r="A288" s="8" t="s">
        <v>358</v>
      </c>
      <c r="B288" s="8"/>
      <c r="C288" s="8" t="s">
        <v>63</v>
      </c>
      <c r="D288" s="8"/>
      <c r="E288" s="9">
        <v>418328</v>
      </c>
      <c r="F288" s="9"/>
      <c r="G288" s="9">
        <v>137481</v>
      </c>
      <c r="H288" s="9"/>
      <c r="I288" s="9">
        <v>82896</v>
      </c>
      <c r="J288" s="9"/>
      <c r="K288" s="9">
        <v>144904</v>
      </c>
      <c r="L288" s="9"/>
      <c r="M288" s="9">
        <v>17268</v>
      </c>
      <c r="N288" s="9"/>
      <c r="O288" s="9">
        <v>4830</v>
      </c>
      <c r="P288" s="9"/>
      <c r="Q288" s="9">
        <v>4594</v>
      </c>
      <c r="R288" s="9"/>
      <c r="S288" s="9">
        <v>0</v>
      </c>
      <c r="T288" s="9"/>
      <c r="U288" s="9">
        <v>0</v>
      </c>
      <c r="V288" s="9"/>
      <c r="W288" s="9">
        <v>100000</v>
      </c>
      <c r="X288" s="9"/>
      <c r="Y288" s="9">
        <v>0</v>
      </c>
      <c r="Z288" s="9"/>
      <c r="AA288" s="9">
        <v>0</v>
      </c>
      <c r="AB288" s="9"/>
      <c r="AC288" s="9">
        <f t="shared" si="9"/>
        <v>910301</v>
      </c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</row>
    <row r="289" spans="1:62" s="3" customFormat="1" ht="12">
      <c r="A289" s="38" t="s">
        <v>529</v>
      </c>
      <c r="B289" s="38"/>
      <c r="C289" s="38" t="s">
        <v>546</v>
      </c>
      <c r="D289" s="38"/>
      <c r="E289" s="38">
        <v>1270129.11</v>
      </c>
      <c r="F289" s="38"/>
      <c r="G289" s="38">
        <v>409704.49</v>
      </c>
      <c r="H289" s="38"/>
      <c r="I289" s="38">
        <v>273571.63</v>
      </c>
      <c r="J289" s="38"/>
      <c r="K289" s="38">
        <v>292123.03</v>
      </c>
      <c r="L289" s="38"/>
      <c r="M289" s="38">
        <v>53551.89</v>
      </c>
      <c r="N289" s="38"/>
      <c r="O289" s="38">
        <v>10946.2</v>
      </c>
      <c r="P289" s="38"/>
      <c r="Q289" s="38">
        <v>193453.08</v>
      </c>
      <c r="R289" s="38"/>
      <c r="S289" s="38">
        <v>0</v>
      </c>
      <c r="T289" s="38"/>
      <c r="U289" s="38">
        <v>0</v>
      </c>
      <c r="V289" s="38"/>
      <c r="W289" s="38">
        <v>0</v>
      </c>
      <c r="X289" s="38"/>
      <c r="Y289" s="38">
        <v>0</v>
      </c>
      <c r="Z289" s="38"/>
      <c r="AA289" s="38">
        <v>0</v>
      </c>
      <c r="AB289" s="38"/>
      <c r="AC289" s="3">
        <f t="shared" si="9"/>
        <v>2503479.43</v>
      </c>
      <c r="AD289" s="39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</row>
    <row r="290" spans="1:63" s="3" customFormat="1" ht="12">
      <c r="A290" s="8" t="s">
        <v>501</v>
      </c>
      <c r="B290" s="8"/>
      <c r="C290" s="8" t="s">
        <v>59</v>
      </c>
      <c r="D290" s="8"/>
      <c r="E290" s="9">
        <v>144725</v>
      </c>
      <c r="F290" s="9"/>
      <c r="G290" s="9">
        <v>0</v>
      </c>
      <c r="H290" s="9"/>
      <c r="I290" s="9">
        <v>275226</v>
      </c>
      <c r="J290" s="9"/>
      <c r="K290" s="9">
        <v>32925</v>
      </c>
      <c r="L290" s="9"/>
      <c r="M290" s="9">
        <v>4130</v>
      </c>
      <c r="N290" s="9"/>
      <c r="O290" s="9">
        <v>11137</v>
      </c>
      <c r="P290" s="9"/>
      <c r="Q290" s="9">
        <v>1751</v>
      </c>
      <c r="R290" s="9"/>
      <c r="S290" s="9">
        <v>0</v>
      </c>
      <c r="T290" s="9"/>
      <c r="U290" s="9">
        <v>0</v>
      </c>
      <c r="V290" s="9"/>
      <c r="W290" s="9">
        <v>5134</v>
      </c>
      <c r="X290" s="9"/>
      <c r="Y290" s="9">
        <v>0</v>
      </c>
      <c r="Z290" s="9"/>
      <c r="AA290" s="9">
        <v>0</v>
      </c>
      <c r="AB290" s="9"/>
      <c r="AC290" s="9">
        <f t="shared" si="9"/>
        <v>475028</v>
      </c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</row>
    <row r="291" spans="1:62" s="3" customFormat="1" ht="12">
      <c r="A291" s="38" t="s">
        <v>530</v>
      </c>
      <c r="B291" s="38"/>
      <c r="C291" s="38" t="s">
        <v>553</v>
      </c>
      <c r="D291" s="38"/>
      <c r="E291" s="38">
        <v>342745.95</v>
      </c>
      <c r="F291" s="38"/>
      <c r="G291" s="38">
        <v>90791.52</v>
      </c>
      <c r="H291" s="38"/>
      <c r="I291" s="38">
        <v>64291.09</v>
      </c>
      <c r="J291" s="38"/>
      <c r="K291" s="38">
        <v>65275.28</v>
      </c>
      <c r="L291" s="38"/>
      <c r="M291" s="38">
        <v>20903.07</v>
      </c>
      <c r="N291" s="38"/>
      <c r="O291" s="38">
        <v>25650.65</v>
      </c>
      <c r="P291" s="38"/>
      <c r="Q291" s="38">
        <v>2740.55</v>
      </c>
      <c r="R291" s="38"/>
      <c r="S291" s="38">
        <v>0</v>
      </c>
      <c r="T291" s="38"/>
      <c r="U291" s="38">
        <v>0</v>
      </c>
      <c r="V291" s="38"/>
      <c r="W291" s="38">
        <v>0</v>
      </c>
      <c r="X291" s="38"/>
      <c r="Y291" s="38">
        <v>0</v>
      </c>
      <c r="Z291" s="38"/>
      <c r="AA291" s="38">
        <v>0</v>
      </c>
      <c r="AB291" s="38"/>
      <c r="AC291" s="3">
        <f t="shared" si="9"/>
        <v>612398.1100000001</v>
      </c>
      <c r="AD291" s="39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</row>
    <row r="292" spans="1:63" s="3" customFormat="1" ht="12">
      <c r="A292" s="8" t="s">
        <v>392</v>
      </c>
      <c r="B292" s="8"/>
      <c r="C292" s="8" t="s">
        <v>95</v>
      </c>
      <c r="D292" s="8"/>
      <c r="E292" s="9">
        <v>143456</v>
      </c>
      <c r="F292" s="9"/>
      <c r="G292" s="9">
        <f>16947+2507</f>
        <v>19454</v>
      </c>
      <c r="H292" s="9"/>
      <c r="I292" s="9">
        <v>49516</v>
      </c>
      <c r="J292" s="9"/>
      <c r="K292" s="9">
        <v>37415</v>
      </c>
      <c r="L292" s="9"/>
      <c r="M292" s="9">
        <v>11312</v>
      </c>
      <c r="N292" s="9"/>
      <c r="O292" s="9">
        <v>4033</v>
      </c>
      <c r="P292" s="9"/>
      <c r="Q292" s="9">
        <v>22518</v>
      </c>
      <c r="R292" s="9"/>
      <c r="S292" s="9">
        <v>0</v>
      </c>
      <c r="T292" s="9"/>
      <c r="U292" s="9">
        <v>0</v>
      </c>
      <c r="V292" s="9"/>
      <c r="W292" s="9">
        <v>0</v>
      </c>
      <c r="X292" s="9"/>
      <c r="Y292" s="9">
        <v>0</v>
      </c>
      <c r="Z292" s="9"/>
      <c r="AA292" s="9">
        <v>0</v>
      </c>
      <c r="AB292" s="9"/>
      <c r="AC292" s="9">
        <f t="shared" si="9"/>
        <v>287704</v>
      </c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</row>
    <row r="293" spans="1:62" s="3" customFormat="1" ht="12">
      <c r="A293" s="38" t="s">
        <v>239</v>
      </c>
      <c r="B293" s="38"/>
      <c r="C293" s="38" t="s">
        <v>558</v>
      </c>
      <c r="D293" s="38"/>
      <c r="E293" s="38">
        <v>188403.94</v>
      </c>
      <c r="F293" s="38"/>
      <c r="G293" s="38">
        <v>40418.33</v>
      </c>
      <c r="H293" s="38"/>
      <c r="I293" s="38">
        <v>46889.04</v>
      </c>
      <c r="J293" s="38"/>
      <c r="K293" s="38">
        <v>37344.71</v>
      </c>
      <c r="L293" s="38"/>
      <c r="M293" s="38">
        <v>4715.26</v>
      </c>
      <c r="N293" s="38"/>
      <c r="O293" s="38">
        <v>1288.44</v>
      </c>
      <c r="P293" s="38"/>
      <c r="Q293" s="38">
        <v>4204.69</v>
      </c>
      <c r="R293" s="38"/>
      <c r="S293" s="38">
        <v>0</v>
      </c>
      <c r="T293" s="38"/>
      <c r="U293" s="38">
        <v>0</v>
      </c>
      <c r="V293" s="38"/>
      <c r="W293" s="38">
        <v>0</v>
      </c>
      <c r="X293" s="38"/>
      <c r="Y293" s="38">
        <v>0</v>
      </c>
      <c r="Z293" s="38"/>
      <c r="AA293" s="38">
        <v>0</v>
      </c>
      <c r="AB293" s="38"/>
      <c r="AC293" s="3">
        <f t="shared" si="9"/>
        <v>323264.41000000003</v>
      </c>
      <c r="AD293" s="39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</row>
    <row r="294" spans="1:62" s="3" customFormat="1" ht="12">
      <c r="A294" s="38" t="s">
        <v>531</v>
      </c>
      <c r="B294" s="38"/>
      <c r="C294" s="38" t="s">
        <v>587</v>
      </c>
      <c r="D294" s="38"/>
      <c r="E294" s="38">
        <v>63944.17</v>
      </c>
      <c r="F294" s="38"/>
      <c r="G294" s="38">
        <v>10136.33</v>
      </c>
      <c r="H294" s="38"/>
      <c r="I294" s="38">
        <v>27891.17</v>
      </c>
      <c r="J294" s="38"/>
      <c r="K294" s="38">
        <v>25619.58</v>
      </c>
      <c r="L294" s="38"/>
      <c r="M294" s="38">
        <v>4103.18</v>
      </c>
      <c r="N294" s="38"/>
      <c r="O294" s="38">
        <v>539</v>
      </c>
      <c r="P294" s="38"/>
      <c r="Q294" s="38">
        <v>6308.37</v>
      </c>
      <c r="R294" s="38"/>
      <c r="S294" s="38">
        <v>0</v>
      </c>
      <c r="T294" s="38"/>
      <c r="U294" s="38">
        <v>0</v>
      </c>
      <c r="V294" s="38"/>
      <c r="W294" s="38">
        <v>0</v>
      </c>
      <c r="X294" s="38"/>
      <c r="Y294" s="38">
        <v>0</v>
      </c>
      <c r="Z294" s="38"/>
      <c r="AA294" s="38">
        <v>0</v>
      </c>
      <c r="AB294" s="38"/>
      <c r="AC294" s="3">
        <f t="shared" si="9"/>
        <v>138541.8</v>
      </c>
      <c r="AD294" s="39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</row>
    <row r="295" spans="1:63" s="3" customFormat="1" ht="12">
      <c r="A295" s="8" t="s">
        <v>502</v>
      </c>
      <c r="B295" s="8"/>
      <c r="C295" s="8" t="s">
        <v>44</v>
      </c>
      <c r="D295" s="8"/>
      <c r="E295" s="9">
        <v>2476520</v>
      </c>
      <c r="F295" s="9"/>
      <c r="G295" s="9">
        <v>776966</v>
      </c>
      <c r="H295" s="9"/>
      <c r="I295" s="9">
        <v>567733</v>
      </c>
      <c r="J295" s="9"/>
      <c r="K295" s="9">
        <v>602617</v>
      </c>
      <c r="L295" s="9"/>
      <c r="M295" s="9">
        <v>70897</v>
      </c>
      <c r="N295" s="9"/>
      <c r="O295" s="9">
        <v>12171</v>
      </c>
      <c r="P295" s="9"/>
      <c r="Q295" s="9">
        <v>25318</v>
      </c>
      <c r="R295" s="9"/>
      <c r="S295" s="9">
        <v>0</v>
      </c>
      <c r="T295" s="9"/>
      <c r="U295" s="9">
        <v>0</v>
      </c>
      <c r="V295" s="9"/>
      <c r="W295" s="9">
        <v>0</v>
      </c>
      <c r="X295" s="9"/>
      <c r="Y295" s="9">
        <v>0</v>
      </c>
      <c r="Z295" s="9"/>
      <c r="AA295" s="9">
        <v>0</v>
      </c>
      <c r="AB295" s="9"/>
      <c r="AC295" s="9">
        <f t="shared" si="9"/>
        <v>4532222</v>
      </c>
      <c r="AD295" s="9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</row>
    <row r="296" spans="1:62" s="3" customFormat="1" ht="12">
      <c r="A296" s="38" t="s">
        <v>241</v>
      </c>
      <c r="B296" s="38"/>
      <c r="C296" s="38" t="s">
        <v>598</v>
      </c>
      <c r="D296" s="38"/>
      <c r="E296" s="38">
        <v>164174.68</v>
      </c>
      <c r="F296" s="38"/>
      <c r="G296" s="38">
        <v>45255.72</v>
      </c>
      <c r="H296" s="38"/>
      <c r="I296" s="38">
        <v>81175.52</v>
      </c>
      <c r="J296" s="38"/>
      <c r="K296" s="38">
        <v>62666.53</v>
      </c>
      <c r="L296" s="38"/>
      <c r="M296" s="38">
        <v>17478.15</v>
      </c>
      <c r="N296" s="38"/>
      <c r="O296" s="38">
        <v>3794.23</v>
      </c>
      <c r="P296" s="38"/>
      <c r="Q296" s="38">
        <v>2026</v>
      </c>
      <c r="R296" s="38"/>
      <c r="S296" s="38">
        <v>0</v>
      </c>
      <c r="T296" s="38"/>
      <c r="U296" s="38">
        <v>0</v>
      </c>
      <c r="V296" s="38"/>
      <c r="W296" s="38">
        <v>26729.16</v>
      </c>
      <c r="X296" s="38"/>
      <c r="Y296" s="38">
        <v>0</v>
      </c>
      <c r="Z296" s="38"/>
      <c r="AA296" s="38">
        <v>0</v>
      </c>
      <c r="AB296" s="38"/>
      <c r="AC296" s="3">
        <f t="shared" si="9"/>
        <v>403299.98999999993</v>
      </c>
      <c r="AD296" s="39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</row>
    <row r="297" spans="1:63" s="3" customFormat="1" ht="12">
      <c r="A297" s="8" t="s">
        <v>242</v>
      </c>
      <c r="B297" s="8"/>
      <c r="C297" s="8" t="s">
        <v>59</v>
      </c>
      <c r="D297" s="8"/>
      <c r="E297" s="9">
        <v>378057</v>
      </c>
      <c r="F297" s="9"/>
      <c r="G297" s="9">
        <v>162172</v>
      </c>
      <c r="H297" s="9"/>
      <c r="I297" s="9">
        <v>81733</v>
      </c>
      <c r="J297" s="9"/>
      <c r="K297" s="9">
        <v>82593</v>
      </c>
      <c r="L297" s="9"/>
      <c r="M297" s="9">
        <v>18359</v>
      </c>
      <c r="N297" s="9"/>
      <c r="O297" s="9">
        <v>7602</v>
      </c>
      <c r="P297" s="9"/>
      <c r="Q297" s="9">
        <v>20874</v>
      </c>
      <c r="R297" s="9"/>
      <c r="S297" s="9">
        <v>0</v>
      </c>
      <c r="T297" s="9"/>
      <c r="U297" s="9">
        <v>0</v>
      </c>
      <c r="V297" s="9"/>
      <c r="W297" s="9">
        <v>60000</v>
      </c>
      <c r="X297" s="9"/>
      <c r="Y297" s="9">
        <v>0</v>
      </c>
      <c r="Z297" s="9"/>
      <c r="AA297" s="9">
        <v>0</v>
      </c>
      <c r="AB297" s="9"/>
      <c r="AC297" s="9">
        <f t="shared" si="9"/>
        <v>811390</v>
      </c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</row>
    <row r="298" spans="1:62" s="3" customFormat="1" ht="12">
      <c r="A298" s="38" t="s">
        <v>245</v>
      </c>
      <c r="B298" s="38"/>
      <c r="C298" s="38" t="s">
        <v>562</v>
      </c>
      <c r="D298" s="38"/>
      <c r="E298" s="38">
        <v>99320.13</v>
      </c>
      <c r="F298" s="38"/>
      <c r="G298" s="38">
        <v>17247.81</v>
      </c>
      <c r="H298" s="38"/>
      <c r="I298" s="38">
        <v>30914.77</v>
      </c>
      <c r="J298" s="38"/>
      <c r="K298" s="38">
        <v>23285.31</v>
      </c>
      <c r="L298" s="38"/>
      <c r="M298" s="38">
        <v>5949.59</v>
      </c>
      <c r="N298" s="38"/>
      <c r="O298" s="38">
        <v>387</v>
      </c>
      <c r="P298" s="38"/>
      <c r="Q298" s="38">
        <v>1779.92</v>
      </c>
      <c r="R298" s="38"/>
      <c r="S298" s="38">
        <v>0</v>
      </c>
      <c r="T298" s="38"/>
      <c r="U298" s="38">
        <v>0</v>
      </c>
      <c r="V298" s="38"/>
      <c r="W298" s="38">
        <v>0</v>
      </c>
      <c r="X298" s="38"/>
      <c r="Y298" s="38">
        <v>0</v>
      </c>
      <c r="Z298" s="38"/>
      <c r="AA298" s="38">
        <v>0</v>
      </c>
      <c r="AB298" s="38"/>
      <c r="AC298" s="3">
        <f t="shared" si="9"/>
        <v>178884.53</v>
      </c>
      <c r="AD298" s="39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</row>
    <row r="299" spans="1:62" s="3" customFormat="1" ht="12">
      <c r="A299" s="38" t="s">
        <v>246</v>
      </c>
      <c r="B299" s="38"/>
      <c r="C299" s="38" t="s">
        <v>600</v>
      </c>
      <c r="D299" s="38"/>
      <c r="E299" s="38">
        <v>244665.88</v>
      </c>
      <c r="F299" s="38"/>
      <c r="G299" s="38">
        <v>88135.38</v>
      </c>
      <c r="H299" s="38"/>
      <c r="I299" s="38">
        <v>53295.29</v>
      </c>
      <c r="J299" s="38"/>
      <c r="K299" s="38">
        <v>45855.19</v>
      </c>
      <c r="L299" s="38"/>
      <c r="M299" s="38">
        <v>9968.8</v>
      </c>
      <c r="N299" s="38"/>
      <c r="O299" s="38">
        <v>4102.59</v>
      </c>
      <c r="P299" s="38"/>
      <c r="Q299" s="38">
        <v>3538.12</v>
      </c>
      <c r="R299" s="38"/>
      <c r="S299" s="38">
        <v>0</v>
      </c>
      <c r="T299" s="38"/>
      <c r="U299" s="38">
        <v>0</v>
      </c>
      <c r="V299" s="38"/>
      <c r="W299" s="38">
        <v>20500</v>
      </c>
      <c r="X299" s="38"/>
      <c r="Y299" s="38">
        <v>0</v>
      </c>
      <c r="Z299" s="38"/>
      <c r="AA299" s="38">
        <v>0</v>
      </c>
      <c r="AB299" s="38"/>
      <c r="AC299" s="3">
        <f t="shared" si="9"/>
        <v>470061.25</v>
      </c>
      <c r="AD299" s="39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</row>
    <row r="300" spans="1:63" s="3" customFormat="1" ht="12">
      <c r="A300" s="8" t="s">
        <v>247</v>
      </c>
      <c r="B300" s="8"/>
      <c r="C300" s="8" t="s">
        <v>26</v>
      </c>
      <c r="D300" s="8"/>
      <c r="E300" s="9">
        <v>305865</v>
      </c>
      <c r="F300" s="9"/>
      <c r="G300" s="9">
        <v>0</v>
      </c>
      <c r="H300" s="9"/>
      <c r="I300" s="9">
        <f>1779023-305865-16069</f>
        <v>1457089</v>
      </c>
      <c r="J300" s="9"/>
      <c r="K300" s="9">
        <v>0</v>
      </c>
      <c r="L300" s="9"/>
      <c r="M300" s="9">
        <v>0</v>
      </c>
      <c r="N300" s="9"/>
      <c r="O300" s="9">
        <v>0</v>
      </c>
      <c r="P300" s="9"/>
      <c r="Q300" s="9">
        <v>16069</v>
      </c>
      <c r="R300" s="9"/>
      <c r="S300" s="9">
        <v>0</v>
      </c>
      <c r="T300" s="9"/>
      <c r="U300" s="9">
        <v>0</v>
      </c>
      <c r="V300" s="9"/>
      <c r="W300" s="9">
        <v>85000</v>
      </c>
      <c r="X300" s="9"/>
      <c r="Y300" s="9">
        <v>0</v>
      </c>
      <c r="Z300" s="9"/>
      <c r="AA300" s="9">
        <v>0</v>
      </c>
      <c r="AB300" s="9"/>
      <c r="AC300" s="9">
        <f t="shared" si="9"/>
        <v>1864023</v>
      </c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</row>
    <row r="301" spans="1:63" s="3" customFormat="1" ht="12">
      <c r="A301" s="8" t="s">
        <v>503</v>
      </c>
      <c r="B301" s="8"/>
      <c r="C301" s="8" t="s">
        <v>68</v>
      </c>
      <c r="D301" s="8"/>
      <c r="E301" s="9">
        <v>0</v>
      </c>
      <c r="F301" s="9"/>
      <c r="G301" s="9">
        <v>0</v>
      </c>
      <c r="H301" s="9"/>
      <c r="I301" s="9">
        <v>8304</v>
      </c>
      <c r="J301" s="9"/>
      <c r="K301" s="9">
        <v>14208</v>
      </c>
      <c r="L301" s="9"/>
      <c r="M301" s="9">
        <v>1018</v>
      </c>
      <c r="N301" s="9"/>
      <c r="O301" s="9">
        <v>1988</v>
      </c>
      <c r="P301" s="9"/>
      <c r="Q301" s="9">
        <v>7857</v>
      </c>
      <c r="R301" s="9"/>
      <c r="S301" s="9">
        <v>0</v>
      </c>
      <c r="T301" s="9"/>
      <c r="U301" s="9">
        <v>0</v>
      </c>
      <c r="V301" s="9"/>
      <c r="W301" s="9">
        <v>0</v>
      </c>
      <c r="X301" s="9"/>
      <c r="Y301" s="9">
        <v>0</v>
      </c>
      <c r="Z301" s="9"/>
      <c r="AA301" s="9">
        <v>0</v>
      </c>
      <c r="AB301" s="9"/>
      <c r="AC301" s="9">
        <f t="shared" si="9"/>
        <v>33375</v>
      </c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</row>
    <row r="302" spans="1:62" s="3" customFormat="1" ht="12">
      <c r="A302" s="38" t="s">
        <v>248</v>
      </c>
      <c r="B302" s="38"/>
      <c r="C302" s="38" t="s">
        <v>570</v>
      </c>
      <c r="D302" s="38"/>
      <c r="E302" s="38">
        <v>522953.92</v>
      </c>
      <c r="F302" s="38"/>
      <c r="G302" s="38">
        <v>149350.19</v>
      </c>
      <c r="H302" s="38"/>
      <c r="I302" s="38">
        <v>131818.88</v>
      </c>
      <c r="J302" s="38"/>
      <c r="K302" s="38">
        <v>81491.41</v>
      </c>
      <c r="L302" s="38"/>
      <c r="M302" s="38">
        <v>13284.48</v>
      </c>
      <c r="N302" s="38"/>
      <c r="O302" s="38">
        <v>4855.87</v>
      </c>
      <c r="P302" s="38"/>
      <c r="Q302" s="38">
        <v>6100.34</v>
      </c>
      <c r="R302" s="38"/>
      <c r="S302" s="38">
        <v>0</v>
      </c>
      <c r="T302" s="38"/>
      <c r="U302" s="38">
        <v>0</v>
      </c>
      <c r="V302" s="38"/>
      <c r="W302" s="38">
        <v>29304.48</v>
      </c>
      <c r="X302" s="38"/>
      <c r="Y302" s="38">
        <v>0</v>
      </c>
      <c r="Z302" s="38"/>
      <c r="AA302" s="38">
        <v>0</v>
      </c>
      <c r="AB302" s="38"/>
      <c r="AC302" s="3">
        <f aca="true" t="shared" si="10" ref="AC302:AC333">SUM(E302:AA302)</f>
        <v>939159.57</v>
      </c>
      <c r="AD302" s="39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</row>
    <row r="303" spans="1:63" s="3" customFormat="1" ht="12">
      <c r="A303" s="8" t="s">
        <v>249</v>
      </c>
      <c r="B303" s="8"/>
      <c r="C303" s="8" t="s">
        <v>172</v>
      </c>
      <c r="D303" s="8"/>
      <c r="E303" s="9">
        <v>148275</v>
      </c>
      <c r="F303" s="9"/>
      <c r="G303" s="9">
        <v>44655</v>
      </c>
      <c r="H303" s="9"/>
      <c r="I303" s="9">
        <v>62653</v>
      </c>
      <c r="J303" s="9"/>
      <c r="K303" s="9">
        <v>60516</v>
      </c>
      <c r="L303" s="9"/>
      <c r="M303" s="9">
        <v>12411</v>
      </c>
      <c r="N303" s="9"/>
      <c r="O303" s="9">
        <v>3118</v>
      </c>
      <c r="P303" s="9"/>
      <c r="Q303" s="9">
        <v>9122</v>
      </c>
      <c r="R303" s="9"/>
      <c r="S303" s="9">
        <v>0</v>
      </c>
      <c r="T303" s="9"/>
      <c r="U303" s="9">
        <v>0</v>
      </c>
      <c r="V303" s="9"/>
      <c r="W303" s="9">
        <v>0</v>
      </c>
      <c r="X303" s="9"/>
      <c r="Y303" s="9">
        <v>0</v>
      </c>
      <c r="Z303" s="9"/>
      <c r="AA303" s="9">
        <v>0</v>
      </c>
      <c r="AB303" s="9"/>
      <c r="AC303" s="9">
        <f t="shared" si="10"/>
        <v>340750</v>
      </c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</row>
    <row r="304" spans="1:63" s="3" customFormat="1" ht="12">
      <c r="A304" s="8" t="s">
        <v>250</v>
      </c>
      <c r="B304" s="8"/>
      <c r="C304" s="8" t="s">
        <v>186</v>
      </c>
      <c r="D304" s="8"/>
      <c r="E304" s="9">
        <v>132398</v>
      </c>
      <c r="F304" s="9"/>
      <c r="G304" s="9">
        <v>362</v>
      </c>
      <c r="H304" s="9"/>
      <c r="I304" s="9">
        <v>61190</v>
      </c>
      <c r="J304" s="9"/>
      <c r="K304" s="9">
        <v>33303</v>
      </c>
      <c r="L304" s="9"/>
      <c r="M304" s="9">
        <v>4718</v>
      </c>
      <c r="N304" s="9"/>
      <c r="O304" s="9">
        <v>2260</v>
      </c>
      <c r="P304" s="9"/>
      <c r="Q304" s="9">
        <v>20786</v>
      </c>
      <c r="R304" s="9"/>
      <c r="S304" s="9">
        <v>0</v>
      </c>
      <c r="T304" s="9"/>
      <c r="U304" s="9">
        <v>0</v>
      </c>
      <c r="V304" s="9"/>
      <c r="W304" s="9">
        <v>0</v>
      </c>
      <c r="X304" s="9"/>
      <c r="Y304" s="9">
        <v>0</v>
      </c>
      <c r="Z304" s="9"/>
      <c r="AA304" s="9">
        <v>0</v>
      </c>
      <c r="AB304" s="9"/>
      <c r="AC304" s="9">
        <f t="shared" si="10"/>
        <v>255017</v>
      </c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</row>
    <row r="305" spans="1:62" s="3" customFormat="1" ht="12">
      <c r="A305" s="38" t="s">
        <v>532</v>
      </c>
      <c r="B305" s="38"/>
      <c r="C305" s="38" t="s">
        <v>574</v>
      </c>
      <c r="D305" s="38"/>
      <c r="E305" s="38">
        <v>508268.5</v>
      </c>
      <c r="F305" s="38"/>
      <c r="G305" s="38">
        <v>155047.88</v>
      </c>
      <c r="H305" s="38"/>
      <c r="I305" s="38">
        <v>182799.35</v>
      </c>
      <c r="J305" s="38"/>
      <c r="K305" s="38">
        <v>219696.08</v>
      </c>
      <c r="L305" s="38"/>
      <c r="M305" s="38">
        <v>18631.48</v>
      </c>
      <c r="N305" s="38"/>
      <c r="O305" s="38">
        <v>2108.31</v>
      </c>
      <c r="P305" s="38"/>
      <c r="Q305" s="38">
        <v>16281.78</v>
      </c>
      <c r="R305" s="38"/>
      <c r="S305" s="38">
        <v>0</v>
      </c>
      <c r="T305" s="38"/>
      <c r="U305" s="38">
        <v>0</v>
      </c>
      <c r="V305" s="38"/>
      <c r="W305" s="38">
        <v>0</v>
      </c>
      <c r="X305" s="38"/>
      <c r="Y305" s="38">
        <v>0</v>
      </c>
      <c r="Z305" s="38"/>
      <c r="AA305" s="38">
        <v>0</v>
      </c>
      <c r="AB305" s="38"/>
      <c r="AC305" s="3">
        <f t="shared" si="10"/>
        <v>1102833.3800000001</v>
      </c>
      <c r="AD305" s="39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</row>
    <row r="306" spans="1:63" s="3" customFormat="1" ht="12">
      <c r="A306" s="8" t="s">
        <v>253</v>
      </c>
      <c r="B306" s="8"/>
      <c r="C306" s="8" t="s">
        <v>254</v>
      </c>
      <c r="D306" s="8"/>
      <c r="E306" s="9">
        <v>368433</v>
      </c>
      <c r="F306" s="9"/>
      <c r="G306" s="9">
        <v>265281</v>
      </c>
      <c r="H306" s="9"/>
      <c r="I306" s="9">
        <v>144180</v>
      </c>
      <c r="J306" s="9"/>
      <c r="K306" s="9">
        <v>208968</v>
      </c>
      <c r="L306" s="9"/>
      <c r="M306" s="9">
        <v>21130</v>
      </c>
      <c r="N306" s="9"/>
      <c r="O306" s="9">
        <v>4639</v>
      </c>
      <c r="P306" s="9"/>
      <c r="Q306" s="9">
        <v>59251</v>
      </c>
      <c r="R306" s="9"/>
      <c r="S306" s="9">
        <v>0</v>
      </c>
      <c r="T306" s="9"/>
      <c r="U306" s="9">
        <v>0</v>
      </c>
      <c r="V306" s="9"/>
      <c r="W306" s="9">
        <v>0</v>
      </c>
      <c r="X306" s="9"/>
      <c r="Y306" s="9">
        <v>14278</v>
      </c>
      <c r="Z306" s="9"/>
      <c r="AA306" s="9">
        <v>0</v>
      </c>
      <c r="AB306" s="9"/>
      <c r="AC306" s="9">
        <f t="shared" si="10"/>
        <v>1086160</v>
      </c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</row>
    <row r="307" spans="1:62" s="3" customFormat="1" ht="12">
      <c r="A307" s="38" t="s">
        <v>255</v>
      </c>
      <c r="B307" s="38"/>
      <c r="C307" s="38" t="s">
        <v>573</v>
      </c>
      <c r="D307" s="38"/>
      <c r="E307" s="38">
        <v>393090.97</v>
      </c>
      <c r="F307" s="38"/>
      <c r="G307" s="38">
        <v>100177.13</v>
      </c>
      <c r="H307" s="38"/>
      <c r="I307" s="38">
        <v>42088.08</v>
      </c>
      <c r="J307" s="38"/>
      <c r="K307" s="38">
        <v>140703.76</v>
      </c>
      <c r="L307" s="38"/>
      <c r="M307" s="38">
        <v>17006.5</v>
      </c>
      <c r="N307" s="38"/>
      <c r="O307" s="38">
        <v>2307.79</v>
      </c>
      <c r="P307" s="38"/>
      <c r="Q307" s="38">
        <v>838.99</v>
      </c>
      <c r="R307" s="38"/>
      <c r="S307" s="38">
        <v>0</v>
      </c>
      <c r="T307" s="38"/>
      <c r="U307" s="38">
        <v>0</v>
      </c>
      <c r="V307" s="38"/>
      <c r="W307" s="38">
        <v>0</v>
      </c>
      <c r="X307" s="38"/>
      <c r="Y307" s="38">
        <v>0</v>
      </c>
      <c r="Z307" s="38"/>
      <c r="AA307" s="38">
        <v>0</v>
      </c>
      <c r="AB307" s="38"/>
      <c r="AC307" s="3">
        <f t="shared" si="10"/>
        <v>696213.22</v>
      </c>
      <c r="AD307" s="39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</row>
    <row r="308" spans="1:62" s="3" customFormat="1" ht="12">
      <c r="A308" s="38" t="s">
        <v>533</v>
      </c>
      <c r="B308" s="38"/>
      <c r="C308" s="38" t="s">
        <v>567</v>
      </c>
      <c r="D308" s="38"/>
      <c r="E308" s="38">
        <v>150008.3</v>
      </c>
      <c r="F308" s="38"/>
      <c r="G308" s="38">
        <v>23681.33</v>
      </c>
      <c r="H308" s="38"/>
      <c r="I308" s="38">
        <v>30566.63</v>
      </c>
      <c r="J308" s="38"/>
      <c r="K308" s="38">
        <v>37583.19</v>
      </c>
      <c r="L308" s="38"/>
      <c r="M308" s="38">
        <v>9498.52</v>
      </c>
      <c r="N308" s="38"/>
      <c r="O308" s="38">
        <v>3860.1</v>
      </c>
      <c r="P308" s="38"/>
      <c r="Q308" s="38">
        <v>6904.83</v>
      </c>
      <c r="R308" s="38"/>
      <c r="S308" s="38">
        <v>0</v>
      </c>
      <c r="T308" s="38"/>
      <c r="U308" s="38">
        <v>0</v>
      </c>
      <c r="V308" s="38"/>
      <c r="W308" s="38">
        <v>0</v>
      </c>
      <c r="X308" s="38"/>
      <c r="Y308" s="38">
        <v>0</v>
      </c>
      <c r="Z308" s="38"/>
      <c r="AA308" s="38">
        <v>0</v>
      </c>
      <c r="AB308" s="38"/>
      <c r="AC308" s="3">
        <f t="shared" si="10"/>
        <v>262102.9</v>
      </c>
      <c r="AD308" s="39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</row>
    <row r="309" spans="1:63" s="3" customFormat="1" ht="12">
      <c r="A309" s="8" t="s">
        <v>257</v>
      </c>
      <c r="B309" s="8"/>
      <c r="C309" s="8" t="s">
        <v>258</v>
      </c>
      <c r="D309" s="8"/>
      <c r="E309" s="9">
        <v>480517</v>
      </c>
      <c r="F309" s="9"/>
      <c r="G309" s="9">
        <v>131999</v>
      </c>
      <c r="H309" s="9"/>
      <c r="I309" s="9">
        <v>123928</v>
      </c>
      <c r="J309" s="9"/>
      <c r="K309" s="9">
        <v>78885</v>
      </c>
      <c r="L309" s="9"/>
      <c r="M309" s="9">
        <v>24381</v>
      </c>
      <c r="N309" s="9"/>
      <c r="O309" s="9">
        <v>14715</v>
      </c>
      <c r="P309" s="9"/>
      <c r="Q309" s="9">
        <v>28186</v>
      </c>
      <c r="R309" s="9"/>
      <c r="S309" s="9">
        <v>0</v>
      </c>
      <c r="T309" s="9"/>
      <c r="U309" s="9">
        <v>0</v>
      </c>
      <c r="V309" s="9"/>
      <c r="W309" s="9">
        <v>0</v>
      </c>
      <c r="X309" s="9"/>
      <c r="Y309" s="9">
        <v>0</v>
      </c>
      <c r="Z309" s="9"/>
      <c r="AA309" s="9">
        <v>0</v>
      </c>
      <c r="AB309" s="9"/>
      <c r="AC309" s="9">
        <f t="shared" si="10"/>
        <v>882611</v>
      </c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</row>
    <row r="310" spans="1:62" s="3" customFormat="1" ht="12">
      <c r="A310" s="38" t="s">
        <v>534</v>
      </c>
      <c r="B310" s="38"/>
      <c r="C310" s="38" t="s">
        <v>600</v>
      </c>
      <c r="D310" s="38"/>
      <c r="E310" s="38">
        <v>187604.46</v>
      </c>
      <c r="F310" s="38"/>
      <c r="G310" s="38">
        <v>39537.71</v>
      </c>
      <c r="H310" s="38"/>
      <c r="I310" s="38">
        <v>61538.22</v>
      </c>
      <c r="J310" s="38"/>
      <c r="K310" s="38">
        <v>68199.94</v>
      </c>
      <c r="L310" s="38"/>
      <c r="M310" s="38">
        <v>9260.8</v>
      </c>
      <c r="N310" s="38"/>
      <c r="O310" s="38">
        <v>1526.1</v>
      </c>
      <c r="P310" s="38"/>
      <c r="Q310" s="38">
        <v>5979.91</v>
      </c>
      <c r="R310" s="38"/>
      <c r="S310" s="38">
        <v>0</v>
      </c>
      <c r="T310" s="38"/>
      <c r="U310" s="38">
        <v>0</v>
      </c>
      <c r="V310" s="38"/>
      <c r="W310" s="38">
        <v>38675.27</v>
      </c>
      <c r="X310" s="38"/>
      <c r="Y310" s="38">
        <v>0</v>
      </c>
      <c r="Z310" s="38"/>
      <c r="AA310" s="38">
        <v>0</v>
      </c>
      <c r="AB310" s="38"/>
      <c r="AC310" s="3">
        <f t="shared" si="10"/>
        <v>412322.41</v>
      </c>
      <c r="AD310" s="39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</row>
    <row r="311" spans="1:62" s="3" customFormat="1" ht="12">
      <c r="A311" s="38" t="s">
        <v>261</v>
      </c>
      <c r="B311" s="38"/>
      <c r="C311" s="38" t="s">
        <v>595</v>
      </c>
      <c r="D311" s="38"/>
      <c r="E311" s="38">
        <v>255972.92</v>
      </c>
      <c r="F311" s="38"/>
      <c r="G311" s="38">
        <v>50034.96</v>
      </c>
      <c r="H311" s="38"/>
      <c r="I311" s="38">
        <v>118220.22</v>
      </c>
      <c r="J311" s="38"/>
      <c r="K311" s="38">
        <v>67162.15</v>
      </c>
      <c r="L311" s="38"/>
      <c r="M311" s="38">
        <v>6404.92</v>
      </c>
      <c r="N311" s="38"/>
      <c r="O311" s="38">
        <v>2492.05</v>
      </c>
      <c r="P311" s="38"/>
      <c r="Q311" s="38">
        <v>4839.5</v>
      </c>
      <c r="R311" s="38"/>
      <c r="S311" s="38">
        <v>0</v>
      </c>
      <c r="T311" s="38"/>
      <c r="U311" s="38">
        <v>0</v>
      </c>
      <c r="V311" s="38"/>
      <c r="W311" s="38">
        <v>40000</v>
      </c>
      <c r="X311" s="38"/>
      <c r="Y311" s="38">
        <v>0</v>
      </c>
      <c r="Z311" s="38"/>
      <c r="AA311" s="38">
        <v>0</v>
      </c>
      <c r="AB311" s="38"/>
      <c r="AC311" s="3">
        <f t="shared" si="10"/>
        <v>545126.72</v>
      </c>
      <c r="AD311" s="39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</row>
    <row r="312" spans="1:62" s="3" customFormat="1" ht="12">
      <c r="A312" s="38" t="s">
        <v>588</v>
      </c>
      <c r="B312" s="38"/>
      <c r="C312" s="38" t="s">
        <v>587</v>
      </c>
      <c r="D312" s="38"/>
      <c r="E312" s="38">
        <v>587603.83</v>
      </c>
      <c r="F312" s="38"/>
      <c r="G312" s="38">
        <v>123667.03</v>
      </c>
      <c r="H312" s="38"/>
      <c r="I312" s="38">
        <v>297836.46</v>
      </c>
      <c r="J312" s="38"/>
      <c r="K312" s="38">
        <v>171909.69</v>
      </c>
      <c r="L312" s="38"/>
      <c r="M312" s="38">
        <v>49491.18</v>
      </c>
      <c r="N312" s="38"/>
      <c r="O312" s="38">
        <v>34144.62</v>
      </c>
      <c r="P312" s="38"/>
      <c r="Q312" s="38">
        <v>134272.07</v>
      </c>
      <c r="R312" s="38"/>
      <c r="S312" s="38">
        <v>0</v>
      </c>
      <c r="T312" s="38"/>
      <c r="U312" s="38">
        <v>0</v>
      </c>
      <c r="V312" s="38"/>
      <c r="W312" s="38">
        <v>0</v>
      </c>
      <c r="X312" s="38"/>
      <c r="Y312" s="38">
        <v>0</v>
      </c>
      <c r="Z312" s="38"/>
      <c r="AA312" s="38">
        <v>0</v>
      </c>
      <c r="AB312" s="38"/>
      <c r="AC312" s="3">
        <f t="shared" si="10"/>
        <v>1398924.8800000001</v>
      </c>
      <c r="AD312" s="39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</row>
    <row r="313" spans="1:63" s="3" customFormat="1" ht="12">
      <c r="A313" s="8" t="s">
        <v>263</v>
      </c>
      <c r="B313" s="8"/>
      <c r="C313" s="8" t="s">
        <v>71</v>
      </c>
      <c r="D313" s="8"/>
      <c r="E313" s="9">
        <v>83914</v>
      </c>
      <c r="F313" s="9"/>
      <c r="G313" s="9">
        <v>12856</v>
      </c>
      <c r="H313" s="9"/>
      <c r="I313" s="9">
        <v>34950</v>
      </c>
      <c r="J313" s="9"/>
      <c r="K313" s="9">
        <v>22356</v>
      </c>
      <c r="L313" s="9"/>
      <c r="M313" s="9">
        <v>6636</v>
      </c>
      <c r="N313" s="9"/>
      <c r="O313" s="9">
        <v>1137</v>
      </c>
      <c r="P313" s="9"/>
      <c r="Q313" s="9">
        <v>54931</v>
      </c>
      <c r="R313" s="9"/>
      <c r="S313" s="9">
        <v>0</v>
      </c>
      <c r="T313" s="9"/>
      <c r="U313" s="9">
        <v>0</v>
      </c>
      <c r="V313" s="9"/>
      <c r="W313" s="9">
        <v>0</v>
      </c>
      <c r="X313" s="9"/>
      <c r="Y313" s="9">
        <v>0</v>
      </c>
      <c r="Z313" s="9"/>
      <c r="AA313" s="9">
        <v>0</v>
      </c>
      <c r="AB313" s="9"/>
      <c r="AC313" s="9">
        <f t="shared" si="10"/>
        <v>216780</v>
      </c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</row>
    <row r="314" spans="1:62" s="3" customFormat="1" ht="12">
      <c r="A314" s="38" t="s">
        <v>264</v>
      </c>
      <c r="B314" s="38"/>
      <c r="C314" s="38" t="s">
        <v>572</v>
      </c>
      <c r="D314" s="38"/>
      <c r="E314" s="38">
        <v>431967.18</v>
      </c>
      <c r="F314" s="38"/>
      <c r="G314" s="38">
        <v>120921.84</v>
      </c>
      <c r="H314" s="38"/>
      <c r="I314" s="38">
        <v>132193.51</v>
      </c>
      <c r="J314" s="38"/>
      <c r="K314" s="38">
        <v>101984.79</v>
      </c>
      <c r="L314" s="38"/>
      <c r="M314" s="38">
        <v>18008.07</v>
      </c>
      <c r="N314" s="38"/>
      <c r="O314" s="38">
        <v>14592.76</v>
      </c>
      <c r="P314" s="38"/>
      <c r="Q314" s="38">
        <v>915250.73</v>
      </c>
      <c r="R314" s="38"/>
      <c r="S314" s="38">
        <v>0</v>
      </c>
      <c r="T314" s="38"/>
      <c r="U314" s="38">
        <v>0</v>
      </c>
      <c r="V314" s="38"/>
      <c r="W314" s="38">
        <v>20000</v>
      </c>
      <c r="X314" s="38"/>
      <c r="Y314" s="38">
        <v>0</v>
      </c>
      <c r="Z314" s="38"/>
      <c r="AA314" s="38">
        <v>18110.18</v>
      </c>
      <c r="AB314" s="38"/>
      <c r="AC314" s="3">
        <f t="shared" si="10"/>
        <v>1773029.0599999998</v>
      </c>
      <c r="AD314" s="39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</row>
    <row r="315" spans="1:63" s="3" customFormat="1" ht="12">
      <c r="A315" s="8" t="s">
        <v>265</v>
      </c>
      <c r="B315" s="8"/>
      <c r="C315" s="8" t="s">
        <v>266</v>
      </c>
      <c r="D315" s="8"/>
      <c r="E315" s="9">
        <v>833176</v>
      </c>
      <c r="F315" s="9"/>
      <c r="G315" s="9">
        <v>354487</v>
      </c>
      <c r="H315" s="9"/>
      <c r="I315" s="9">
        <v>301459</v>
      </c>
      <c r="J315" s="9"/>
      <c r="K315" s="9">
        <v>330193</v>
      </c>
      <c r="L315" s="9"/>
      <c r="M315" s="9">
        <v>54198</v>
      </c>
      <c r="N315" s="9"/>
      <c r="O315" s="9">
        <v>8788</v>
      </c>
      <c r="P315" s="9"/>
      <c r="Q315" s="9">
        <v>64685</v>
      </c>
      <c r="R315" s="9"/>
      <c r="S315" s="9">
        <v>0</v>
      </c>
      <c r="T315" s="9"/>
      <c r="U315" s="9">
        <v>0</v>
      </c>
      <c r="V315" s="9"/>
      <c r="W315" s="9">
        <v>0</v>
      </c>
      <c r="X315" s="9"/>
      <c r="Y315" s="9">
        <v>0</v>
      </c>
      <c r="Z315" s="9"/>
      <c r="AA315" s="9">
        <v>0</v>
      </c>
      <c r="AB315" s="9"/>
      <c r="AC315" s="9">
        <f t="shared" si="10"/>
        <v>1946986</v>
      </c>
      <c r="AD315" s="8"/>
      <c r="AE315" s="9"/>
      <c r="AF315" s="9"/>
      <c r="AG315" s="9"/>
      <c r="AH315" s="9"/>
      <c r="AI315" s="9"/>
      <c r="AJ315" s="9"/>
      <c r="AK315" s="9"/>
      <c r="AL315" s="9"/>
      <c r="AM315" s="8"/>
      <c r="AN315" s="9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</row>
    <row r="316" spans="1:62" s="3" customFormat="1" ht="12">
      <c r="A316" s="38" t="s">
        <v>360</v>
      </c>
      <c r="B316" s="38"/>
      <c r="C316" s="38" t="s">
        <v>561</v>
      </c>
      <c r="D316" s="38"/>
      <c r="E316" s="38">
        <v>519318.92</v>
      </c>
      <c r="F316" s="38"/>
      <c r="G316" s="38">
        <v>205060.77</v>
      </c>
      <c r="H316" s="38"/>
      <c r="I316" s="38">
        <v>208036.34</v>
      </c>
      <c r="J316" s="38"/>
      <c r="K316" s="38">
        <v>133517.89</v>
      </c>
      <c r="L316" s="38"/>
      <c r="M316" s="38">
        <v>18281.45</v>
      </c>
      <c r="N316" s="38"/>
      <c r="O316" s="38">
        <v>9176.43</v>
      </c>
      <c r="P316" s="38"/>
      <c r="Q316" s="38">
        <v>9553.36</v>
      </c>
      <c r="R316" s="38"/>
      <c r="S316" s="38">
        <v>0</v>
      </c>
      <c r="T316" s="38"/>
      <c r="U316" s="38">
        <v>0</v>
      </c>
      <c r="V316" s="38"/>
      <c r="W316" s="38">
        <v>0</v>
      </c>
      <c r="X316" s="38"/>
      <c r="Y316" s="38">
        <v>0</v>
      </c>
      <c r="Z316" s="38"/>
      <c r="AA316" s="38">
        <v>0</v>
      </c>
      <c r="AB316" s="38"/>
      <c r="AC316" s="3">
        <f t="shared" si="10"/>
        <v>1102945.16</v>
      </c>
      <c r="AD316" s="39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</row>
    <row r="317" spans="1:63" s="3" customFormat="1" ht="12">
      <c r="A317" s="8" t="s">
        <v>268</v>
      </c>
      <c r="B317" s="8"/>
      <c r="C317" s="8" t="s">
        <v>13</v>
      </c>
      <c r="D317" s="8"/>
      <c r="E317" s="9">
        <v>0</v>
      </c>
      <c r="F317" s="9"/>
      <c r="G317" s="9">
        <v>0</v>
      </c>
      <c r="H317" s="9"/>
      <c r="I317" s="9">
        <v>34202</v>
      </c>
      <c r="J317" s="9"/>
      <c r="K317" s="9">
        <v>0</v>
      </c>
      <c r="L317" s="9"/>
      <c r="M317" s="9">
        <v>0</v>
      </c>
      <c r="N317" s="9"/>
      <c r="O317" s="9">
        <v>0</v>
      </c>
      <c r="P317" s="9"/>
      <c r="Q317" s="9">
        <v>0</v>
      </c>
      <c r="R317" s="9"/>
      <c r="S317" s="9">
        <v>0</v>
      </c>
      <c r="T317" s="9"/>
      <c r="U317" s="9">
        <v>0</v>
      </c>
      <c r="V317" s="9"/>
      <c r="W317" s="9">
        <v>0</v>
      </c>
      <c r="X317" s="9"/>
      <c r="Y317" s="9">
        <v>0</v>
      </c>
      <c r="Z317" s="9"/>
      <c r="AA317" s="9">
        <v>0</v>
      </c>
      <c r="AB317" s="9"/>
      <c r="AC317" s="9">
        <f t="shared" si="10"/>
        <v>34202</v>
      </c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</row>
    <row r="318" spans="1:62" s="3" customFormat="1" ht="12">
      <c r="A318" s="38" t="s">
        <v>268</v>
      </c>
      <c r="B318" s="38"/>
      <c r="C318" s="38" t="s">
        <v>575</v>
      </c>
      <c r="D318" s="38"/>
      <c r="E318" s="38">
        <v>262884.99</v>
      </c>
      <c r="F318" s="38"/>
      <c r="G318" s="38">
        <v>51476.79</v>
      </c>
      <c r="H318" s="38"/>
      <c r="I318" s="38">
        <v>59161.91</v>
      </c>
      <c r="J318" s="38"/>
      <c r="K318" s="38">
        <v>64519.99</v>
      </c>
      <c r="L318" s="38"/>
      <c r="M318" s="38">
        <v>6845.27</v>
      </c>
      <c r="N318" s="38"/>
      <c r="O318" s="38">
        <v>26651.62</v>
      </c>
      <c r="P318" s="38"/>
      <c r="Q318" s="38">
        <v>3876.05</v>
      </c>
      <c r="R318" s="38"/>
      <c r="S318" s="38">
        <v>0</v>
      </c>
      <c r="T318" s="38"/>
      <c r="U318" s="38">
        <v>0</v>
      </c>
      <c r="V318" s="38"/>
      <c r="W318" s="38">
        <v>0</v>
      </c>
      <c r="X318" s="38"/>
      <c r="Y318" s="38">
        <v>0</v>
      </c>
      <c r="Z318" s="38"/>
      <c r="AA318" s="38">
        <v>15.53</v>
      </c>
      <c r="AB318" s="38"/>
      <c r="AC318" s="3">
        <f t="shared" si="10"/>
        <v>475432.14999999997</v>
      </c>
      <c r="AD318" s="39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</row>
    <row r="319" spans="1:63" s="3" customFormat="1" ht="12">
      <c r="A319" s="8" t="s">
        <v>269</v>
      </c>
      <c r="B319" s="8"/>
      <c r="C319" s="8" t="s">
        <v>190</v>
      </c>
      <c r="D319" s="8"/>
      <c r="E319" s="9">
        <v>1484343</v>
      </c>
      <c r="F319" s="9"/>
      <c r="G319" s="9">
        <v>484334</v>
      </c>
      <c r="H319" s="9"/>
      <c r="I319" s="9">
        <v>306925</v>
      </c>
      <c r="J319" s="8"/>
      <c r="K319" s="9">
        <v>383053</v>
      </c>
      <c r="L319" s="9"/>
      <c r="M319" s="9">
        <v>55789</v>
      </c>
      <c r="N319" s="9"/>
      <c r="O319" s="9">
        <v>14979</v>
      </c>
      <c r="P319" s="9"/>
      <c r="Q319" s="9">
        <v>48471</v>
      </c>
      <c r="R319" s="8"/>
      <c r="S319" s="8">
        <v>0</v>
      </c>
      <c r="T319" s="8"/>
      <c r="U319" s="8">
        <v>0</v>
      </c>
      <c r="V319" s="8"/>
      <c r="W319" s="9">
        <v>61968</v>
      </c>
      <c r="X319" s="9"/>
      <c r="Y319" s="9">
        <v>0</v>
      </c>
      <c r="Z319" s="9"/>
      <c r="AA319" s="9">
        <v>0</v>
      </c>
      <c r="AB319" s="9"/>
      <c r="AC319" s="9">
        <f t="shared" si="10"/>
        <v>2839862</v>
      </c>
      <c r="AD319" s="8"/>
      <c r="AE319" s="9"/>
      <c r="AF319" s="9"/>
      <c r="AG319" s="9"/>
      <c r="AH319" s="9"/>
      <c r="AI319" s="9"/>
      <c r="AJ319" s="9"/>
      <c r="AK319" s="9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</row>
    <row r="320" spans="1:63" s="3" customFormat="1" ht="12">
      <c r="A320" s="3" t="s">
        <v>505</v>
      </c>
      <c r="C320" s="3" t="s">
        <v>20</v>
      </c>
      <c r="D320" s="8"/>
      <c r="E320" s="9">
        <v>2452244</v>
      </c>
      <c r="F320" s="9"/>
      <c r="G320" s="9">
        <v>580116</v>
      </c>
      <c r="H320" s="9"/>
      <c r="I320" s="9">
        <v>567257</v>
      </c>
      <c r="J320" s="9"/>
      <c r="K320" s="9">
        <v>698555</v>
      </c>
      <c r="L320" s="9"/>
      <c r="M320" s="9">
        <v>114215</v>
      </c>
      <c r="N320" s="9"/>
      <c r="O320" s="9">
        <v>16919</v>
      </c>
      <c r="P320" s="9"/>
      <c r="Q320" s="9">
        <v>84094</v>
      </c>
      <c r="R320" s="9"/>
      <c r="S320" s="9">
        <v>0</v>
      </c>
      <c r="T320" s="9"/>
      <c r="U320" s="9">
        <v>0</v>
      </c>
      <c r="V320" s="9"/>
      <c r="W320" s="9">
        <v>160000</v>
      </c>
      <c r="X320" s="9"/>
      <c r="Y320" s="9">
        <v>0</v>
      </c>
      <c r="Z320" s="9"/>
      <c r="AA320" s="9">
        <v>0</v>
      </c>
      <c r="AB320" s="20"/>
      <c r="AC320" s="9">
        <f t="shared" si="10"/>
        <v>4673400</v>
      </c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</row>
    <row r="321" spans="1:63" s="3" customFormat="1" ht="12">
      <c r="A321" s="8" t="s">
        <v>24</v>
      </c>
      <c r="B321" s="8"/>
      <c r="C321" s="8" t="s">
        <v>25</v>
      </c>
      <c r="D321" s="8"/>
      <c r="E321" s="9">
        <v>1534539</v>
      </c>
      <c r="F321" s="9"/>
      <c r="G321" s="9">
        <v>589476</v>
      </c>
      <c r="H321" s="9"/>
      <c r="I321" s="9">
        <v>461879</v>
      </c>
      <c r="J321" s="9"/>
      <c r="K321" s="9">
        <v>309453</v>
      </c>
      <c r="L321" s="9"/>
      <c r="M321" s="9">
        <v>77158</v>
      </c>
      <c r="N321" s="9"/>
      <c r="O321" s="9">
        <v>10491</v>
      </c>
      <c r="P321" s="9"/>
      <c r="Q321" s="9">
        <v>253391</v>
      </c>
      <c r="R321" s="9"/>
      <c r="S321" s="9">
        <v>0</v>
      </c>
      <c r="T321" s="9"/>
      <c r="U321" s="9">
        <v>0</v>
      </c>
      <c r="V321" s="9"/>
      <c r="W321" s="9">
        <v>0</v>
      </c>
      <c r="X321" s="9"/>
      <c r="Y321" s="9">
        <v>0</v>
      </c>
      <c r="Z321" s="9"/>
      <c r="AA321" s="9">
        <v>0</v>
      </c>
      <c r="AB321" s="9"/>
      <c r="AC321" s="9">
        <f t="shared" si="10"/>
        <v>3236387</v>
      </c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</row>
    <row r="322" spans="1:63" s="3" customFormat="1" ht="12">
      <c r="A322" s="8" t="s">
        <v>270</v>
      </c>
      <c r="B322" s="8"/>
      <c r="C322" s="8" t="s">
        <v>109</v>
      </c>
      <c r="D322" s="8"/>
      <c r="E322" s="9">
        <v>717753</v>
      </c>
      <c r="F322" s="9"/>
      <c r="G322" s="9">
        <v>150299</v>
      </c>
      <c r="H322" s="9"/>
      <c r="I322" s="9">
        <v>153521</v>
      </c>
      <c r="J322" s="9"/>
      <c r="K322" s="9">
        <v>293123</v>
      </c>
      <c r="L322" s="9"/>
      <c r="M322" s="9">
        <v>54361</v>
      </c>
      <c r="N322" s="9"/>
      <c r="O322" s="9">
        <v>19765</v>
      </c>
      <c r="P322" s="9"/>
      <c r="Q322" s="9">
        <v>34967</v>
      </c>
      <c r="R322" s="9"/>
      <c r="S322" s="9">
        <v>0</v>
      </c>
      <c r="T322" s="9"/>
      <c r="U322" s="9">
        <v>0</v>
      </c>
      <c r="V322" s="9"/>
      <c r="W322" s="9">
        <v>0</v>
      </c>
      <c r="X322" s="9"/>
      <c r="Y322" s="9">
        <v>0</v>
      </c>
      <c r="Z322" s="9"/>
      <c r="AA322" s="9">
        <v>0</v>
      </c>
      <c r="AB322" s="9"/>
      <c r="AC322" s="9">
        <f t="shared" si="10"/>
        <v>1423789</v>
      </c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</row>
    <row r="323" spans="1:63" s="3" customFormat="1" ht="12">
      <c r="A323" s="8" t="s">
        <v>506</v>
      </c>
      <c r="B323" s="8"/>
      <c r="C323" s="8" t="s">
        <v>507</v>
      </c>
      <c r="D323" s="8"/>
      <c r="E323" s="9">
        <v>3351868</v>
      </c>
      <c r="F323" s="9"/>
      <c r="G323" s="9">
        <v>0</v>
      </c>
      <c r="H323" s="9"/>
      <c r="I323" s="9">
        <f>24084036+11272264+9259061+3381801</f>
        <v>47997162</v>
      </c>
      <c r="J323" s="9"/>
      <c r="K323" s="9">
        <v>0</v>
      </c>
      <c r="L323" s="9"/>
      <c r="M323" s="9">
        <v>0</v>
      </c>
      <c r="N323" s="9"/>
      <c r="O323" s="9">
        <v>0</v>
      </c>
      <c r="P323" s="9"/>
      <c r="Q323" s="9">
        <v>0</v>
      </c>
      <c r="R323" s="9"/>
      <c r="S323" s="9">
        <v>62305</v>
      </c>
      <c r="T323" s="9"/>
      <c r="U323" s="9">
        <v>3168</v>
      </c>
      <c r="V323" s="9"/>
      <c r="W323" s="9">
        <v>3300000</v>
      </c>
      <c r="X323" s="9"/>
      <c r="Y323" s="9">
        <v>150000</v>
      </c>
      <c r="Z323" s="9"/>
      <c r="AA323" s="9">
        <v>0</v>
      </c>
      <c r="AB323" s="9"/>
      <c r="AC323" s="9">
        <f t="shared" si="10"/>
        <v>54864503</v>
      </c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</row>
    <row r="324" spans="1:62" s="3" customFormat="1" ht="12">
      <c r="A324" s="38" t="s">
        <v>271</v>
      </c>
      <c r="B324" s="38"/>
      <c r="C324" s="38" t="s">
        <v>566</v>
      </c>
      <c r="D324" s="38"/>
      <c r="E324" s="38">
        <v>278917.41</v>
      </c>
      <c r="F324" s="38"/>
      <c r="G324" s="38">
        <v>87455.41</v>
      </c>
      <c r="H324" s="38"/>
      <c r="I324" s="38">
        <v>103684.19</v>
      </c>
      <c r="J324" s="38"/>
      <c r="K324" s="38">
        <v>63057.74</v>
      </c>
      <c r="L324" s="38"/>
      <c r="M324" s="38">
        <v>17237.84</v>
      </c>
      <c r="N324" s="38"/>
      <c r="O324" s="38">
        <v>12500.24</v>
      </c>
      <c r="P324" s="38"/>
      <c r="Q324" s="38">
        <v>4342.04</v>
      </c>
      <c r="R324" s="38"/>
      <c r="S324" s="38">
        <v>0</v>
      </c>
      <c r="T324" s="38"/>
      <c r="U324" s="38">
        <v>0</v>
      </c>
      <c r="V324" s="38"/>
      <c r="W324" s="38">
        <v>30160</v>
      </c>
      <c r="X324" s="38"/>
      <c r="Y324" s="38">
        <v>0</v>
      </c>
      <c r="Z324" s="38"/>
      <c r="AA324" s="38">
        <v>0</v>
      </c>
      <c r="AB324" s="38"/>
      <c r="AC324" s="3">
        <f t="shared" si="10"/>
        <v>597354.87</v>
      </c>
      <c r="AD324" s="39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</row>
    <row r="325" spans="1:62" s="3" customFormat="1" ht="12">
      <c r="A325" s="38" t="s">
        <v>272</v>
      </c>
      <c r="B325" s="38"/>
      <c r="C325" s="38" t="s">
        <v>589</v>
      </c>
      <c r="D325" s="38"/>
      <c r="E325" s="38">
        <v>696850.6</v>
      </c>
      <c r="F325" s="38"/>
      <c r="G325" s="38">
        <v>196333.71</v>
      </c>
      <c r="H325" s="38"/>
      <c r="I325" s="38">
        <v>586455.46</v>
      </c>
      <c r="J325" s="38"/>
      <c r="K325" s="38">
        <v>221152.42</v>
      </c>
      <c r="L325" s="38"/>
      <c r="M325" s="38">
        <v>28624.88</v>
      </c>
      <c r="N325" s="38"/>
      <c r="O325" s="38">
        <v>884.74</v>
      </c>
      <c r="P325" s="38"/>
      <c r="Q325" s="38">
        <v>3670.17</v>
      </c>
      <c r="R325" s="38"/>
      <c r="S325" s="38">
        <v>0</v>
      </c>
      <c r="T325" s="38"/>
      <c r="U325" s="38">
        <v>0</v>
      </c>
      <c r="V325" s="38"/>
      <c r="W325" s="38">
        <v>0</v>
      </c>
      <c r="X325" s="38"/>
      <c r="Y325" s="38">
        <v>0</v>
      </c>
      <c r="Z325" s="38"/>
      <c r="AA325" s="38">
        <v>0</v>
      </c>
      <c r="AB325" s="38"/>
      <c r="AC325" s="3">
        <f t="shared" si="10"/>
        <v>1733971.9799999997</v>
      </c>
      <c r="AD325" s="39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</row>
    <row r="326" spans="1:63" s="3" customFormat="1" ht="12">
      <c r="A326" s="8" t="s">
        <v>273</v>
      </c>
      <c r="B326" s="8"/>
      <c r="C326" s="8" t="s">
        <v>244</v>
      </c>
      <c r="D326" s="8"/>
      <c r="E326" s="9">
        <v>5939401</v>
      </c>
      <c r="F326" s="9"/>
      <c r="G326" s="9">
        <v>1918349</v>
      </c>
      <c r="H326" s="9"/>
      <c r="I326" s="9">
        <v>2211621</v>
      </c>
      <c r="J326" s="9"/>
      <c r="K326" s="9">
        <v>1634824</v>
      </c>
      <c r="L326" s="9"/>
      <c r="M326" s="9">
        <v>259840</v>
      </c>
      <c r="N326" s="9"/>
      <c r="O326" s="9">
        <v>73242</v>
      </c>
      <c r="P326" s="9"/>
      <c r="Q326" s="9">
        <v>120648</v>
      </c>
      <c r="R326" s="9"/>
      <c r="S326" s="9">
        <v>0</v>
      </c>
      <c r="T326" s="9"/>
      <c r="U326" s="9">
        <v>0</v>
      </c>
      <c r="V326" s="9"/>
      <c r="W326" s="9">
        <v>2300000</v>
      </c>
      <c r="X326" s="9"/>
      <c r="Y326" s="9">
        <v>0</v>
      </c>
      <c r="Z326" s="9"/>
      <c r="AA326" s="9">
        <v>0</v>
      </c>
      <c r="AB326" s="9"/>
      <c r="AC326" s="9">
        <f t="shared" si="10"/>
        <v>14457925</v>
      </c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</row>
    <row r="327" spans="1:63" s="3" customFormat="1" ht="12">
      <c r="A327" s="8" t="s">
        <v>274</v>
      </c>
      <c r="B327" s="8"/>
      <c r="C327" s="8" t="s">
        <v>215</v>
      </c>
      <c r="D327" s="8"/>
      <c r="E327" s="9">
        <v>132807</v>
      </c>
      <c r="F327" s="9"/>
      <c r="G327" s="9">
        <v>55383</v>
      </c>
      <c r="H327" s="9"/>
      <c r="I327" s="9">
        <v>67411</v>
      </c>
      <c r="J327" s="9"/>
      <c r="K327" s="9">
        <v>41813</v>
      </c>
      <c r="L327" s="9"/>
      <c r="M327" s="9">
        <v>8443</v>
      </c>
      <c r="N327" s="9"/>
      <c r="O327" s="9">
        <v>1472</v>
      </c>
      <c r="P327" s="9"/>
      <c r="Q327" s="9">
        <v>0</v>
      </c>
      <c r="R327" s="9"/>
      <c r="S327" s="9">
        <v>42052</v>
      </c>
      <c r="T327" s="9"/>
      <c r="U327" s="9">
        <v>0</v>
      </c>
      <c r="V327" s="9"/>
      <c r="W327" s="9">
        <v>0</v>
      </c>
      <c r="X327" s="9"/>
      <c r="Y327" s="9">
        <v>0</v>
      </c>
      <c r="Z327" s="9"/>
      <c r="AA327" s="9">
        <v>0</v>
      </c>
      <c r="AB327" s="9"/>
      <c r="AC327" s="9">
        <f t="shared" si="10"/>
        <v>349381</v>
      </c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</row>
    <row r="328" spans="1:62" s="3" customFormat="1" ht="12">
      <c r="A328" s="38" t="s">
        <v>362</v>
      </c>
      <c r="B328" s="38"/>
      <c r="C328" s="38" t="s">
        <v>565</v>
      </c>
      <c r="D328" s="38"/>
      <c r="E328" s="38">
        <v>66961.46</v>
      </c>
      <c r="F328" s="38"/>
      <c r="G328" s="38">
        <v>10172.87</v>
      </c>
      <c r="H328" s="38"/>
      <c r="I328" s="38">
        <v>30317.05</v>
      </c>
      <c r="J328" s="38"/>
      <c r="K328" s="38">
        <v>17074.03</v>
      </c>
      <c r="L328" s="38"/>
      <c r="M328" s="38">
        <v>5393.29</v>
      </c>
      <c r="N328" s="38"/>
      <c r="O328" s="38">
        <v>1186.02</v>
      </c>
      <c r="P328" s="38"/>
      <c r="Q328" s="38">
        <v>3015.64</v>
      </c>
      <c r="R328" s="38"/>
      <c r="S328" s="38">
        <v>0</v>
      </c>
      <c r="T328" s="38"/>
      <c r="U328" s="38">
        <v>0</v>
      </c>
      <c r="V328" s="38"/>
      <c r="W328" s="38">
        <v>0</v>
      </c>
      <c r="X328" s="38"/>
      <c r="Y328" s="38">
        <v>0</v>
      </c>
      <c r="Z328" s="38"/>
      <c r="AA328" s="38">
        <v>0</v>
      </c>
      <c r="AB328" s="38"/>
      <c r="AC328" s="3">
        <f t="shared" si="10"/>
        <v>134120.36000000002</v>
      </c>
      <c r="AD328" s="39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</row>
    <row r="329" spans="1:62" s="3" customFormat="1" ht="12">
      <c r="A329" s="38" t="s">
        <v>535</v>
      </c>
      <c r="B329" s="38"/>
      <c r="C329" s="38" t="s">
        <v>560</v>
      </c>
      <c r="D329" s="38"/>
      <c r="E329" s="38">
        <v>528789.46</v>
      </c>
      <c r="F329" s="38"/>
      <c r="G329" s="38">
        <v>120352.11</v>
      </c>
      <c r="H329" s="38"/>
      <c r="I329" s="38">
        <v>193198.93</v>
      </c>
      <c r="J329" s="38"/>
      <c r="K329" s="38">
        <v>191925.24</v>
      </c>
      <c r="L329" s="38"/>
      <c r="M329" s="38">
        <v>20234.97</v>
      </c>
      <c r="N329" s="38"/>
      <c r="O329" s="38">
        <v>9679.17</v>
      </c>
      <c r="P329" s="38"/>
      <c r="Q329" s="38">
        <v>14715.64</v>
      </c>
      <c r="R329" s="38"/>
      <c r="S329" s="38">
        <v>0</v>
      </c>
      <c r="T329" s="38"/>
      <c r="U329" s="38">
        <v>0</v>
      </c>
      <c r="V329" s="38"/>
      <c r="W329" s="38">
        <v>2000</v>
      </c>
      <c r="X329" s="38"/>
      <c r="Y329" s="38">
        <v>0</v>
      </c>
      <c r="Z329" s="38"/>
      <c r="AA329" s="38">
        <v>42.8</v>
      </c>
      <c r="AB329" s="38"/>
      <c r="AC329" s="3">
        <f t="shared" si="10"/>
        <v>1080938.3199999998</v>
      </c>
      <c r="AD329" s="39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</row>
    <row r="330" spans="1:62" s="3" customFormat="1" ht="12">
      <c r="A330" s="38" t="s">
        <v>277</v>
      </c>
      <c r="B330" s="38"/>
      <c r="C330" s="38" t="s">
        <v>545</v>
      </c>
      <c r="D330" s="38"/>
      <c r="E330" s="38">
        <v>91349.87</v>
      </c>
      <c r="F330" s="38"/>
      <c r="G330" s="38">
        <v>13337.75</v>
      </c>
      <c r="H330" s="38"/>
      <c r="I330" s="38">
        <v>40607</v>
      </c>
      <c r="J330" s="38"/>
      <c r="K330" s="38">
        <v>44130.21</v>
      </c>
      <c r="L330" s="38"/>
      <c r="M330" s="38">
        <v>5759.59</v>
      </c>
      <c r="N330" s="38"/>
      <c r="O330" s="38">
        <v>6075.95</v>
      </c>
      <c r="P330" s="38"/>
      <c r="Q330" s="38">
        <v>1500</v>
      </c>
      <c r="R330" s="38"/>
      <c r="S330" s="38">
        <v>0</v>
      </c>
      <c r="T330" s="38"/>
      <c r="U330" s="38">
        <v>0</v>
      </c>
      <c r="V330" s="38"/>
      <c r="W330" s="38">
        <v>0</v>
      </c>
      <c r="X330" s="38"/>
      <c r="Y330" s="38">
        <v>0</v>
      </c>
      <c r="Z330" s="38"/>
      <c r="AA330" s="38">
        <v>84.83</v>
      </c>
      <c r="AB330" s="38"/>
      <c r="AC330" s="3">
        <f t="shared" si="10"/>
        <v>202845.19999999998</v>
      </c>
      <c r="AD330" s="39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</row>
    <row r="331" spans="1:62" s="3" customFormat="1" ht="12">
      <c r="A331" s="38" t="s">
        <v>278</v>
      </c>
      <c r="B331" s="38"/>
      <c r="C331" s="38" t="s">
        <v>579</v>
      </c>
      <c r="D331" s="38"/>
      <c r="E331" s="38">
        <v>90301.25</v>
      </c>
      <c r="F331" s="38"/>
      <c r="G331" s="38">
        <v>39894.74</v>
      </c>
      <c r="H331" s="38"/>
      <c r="I331" s="38">
        <v>21529.5</v>
      </c>
      <c r="J331" s="38"/>
      <c r="K331" s="38">
        <v>42383.08</v>
      </c>
      <c r="L331" s="38"/>
      <c r="M331" s="38">
        <v>22154.67</v>
      </c>
      <c r="N331" s="38"/>
      <c r="O331" s="38">
        <v>1846</v>
      </c>
      <c r="P331" s="38"/>
      <c r="Q331" s="38">
        <v>4401.02</v>
      </c>
      <c r="R331" s="38"/>
      <c r="S331" s="38">
        <v>0</v>
      </c>
      <c r="T331" s="38"/>
      <c r="U331" s="38">
        <v>0</v>
      </c>
      <c r="V331" s="38"/>
      <c r="W331" s="38">
        <v>0</v>
      </c>
      <c r="X331" s="38"/>
      <c r="Y331" s="38">
        <v>0</v>
      </c>
      <c r="Z331" s="38"/>
      <c r="AA331" s="38">
        <v>0</v>
      </c>
      <c r="AB331" s="38"/>
      <c r="AC331" s="3">
        <f t="shared" si="10"/>
        <v>222510.25999999998</v>
      </c>
      <c r="AD331" s="39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</row>
    <row r="332" spans="1:63" s="3" customFormat="1" ht="12">
      <c r="A332" s="8" t="s">
        <v>279</v>
      </c>
      <c r="B332" s="8"/>
      <c r="C332" s="8" t="s">
        <v>20</v>
      </c>
      <c r="D332" s="8"/>
      <c r="E332" s="9">
        <v>2054955</v>
      </c>
      <c r="F332" s="9"/>
      <c r="G332" s="9">
        <v>418084</v>
      </c>
      <c r="H332" s="9"/>
      <c r="I332" s="9">
        <v>403619</v>
      </c>
      <c r="J332" s="9"/>
      <c r="K332" s="9">
        <v>601530</v>
      </c>
      <c r="L332" s="9"/>
      <c r="M332" s="9">
        <v>91411</v>
      </c>
      <c r="N332" s="9"/>
      <c r="O332" s="9">
        <v>27242</v>
      </c>
      <c r="P332" s="9"/>
      <c r="Q332" s="9">
        <v>0</v>
      </c>
      <c r="R332" s="9"/>
      <c r="S332" s="9">
        <v>170000</v>
      </c>
      <c r="T332" s="9"/>
      <c r="U332" s="9">
        <v>68125</v>
      </c>
      <c r="V332" s="9"/>
      <c r="W332" s="9">
        <v>325000</v>
      </c>
      <c r="X332" s="9"/>
      <c r="Y332" s="9">
        <v>0</v>
      </c>
      <c r="Z332" s="9"/>
      <c r="AA332" s="9">
        <v>0</v>
      </c>
      <c r="AB332" s="9"/>
      <c r="AC332" s="9">
        <f t="shared" si="10"/>
        <v>4159966</v>
      </c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</row>
    <row r="333" spans="1:63" s="3" customFormat="1" ht="12">
      <c r="A333" s="8" t="s">
        <v>280</v>
      </c>
      <c r="B333" s="8"/>
      <c r="C333" s="8" t="s">
        <v>26</v>
      </c>
      <c r="D333" s="8"/>
      <c r="E333" s="9">
        <v>975658</v>
      </c>
      <c r="F333" s="9"/>
      <c r="G333" s="9">
        <f>132818+13541+115674-3</f>
        <v>262030</v>
      </c>
      <c r="H333" s="9"/>
      <c r="I333" s="9">
        <f>4246+1030+1989+11623+49129+76349+12709+102169</f>
        <v>259244</v>
      </c>
      <c r="J333" s="9"/>
      <c r="K333" s="9">
        <f>151796+24012+26290+80971+4379</f>
        <v>287448</v>
      </c>
      <c r="L333" s="9"/>
      <c r="M333" s="9">
        <f>31929+5303+3369</f>
        <v>40601</v>
      </c>
      <c r="N333" s="9"/>
      <c r="O333" s="9">
        <f>6199+488</f>
        <v>6687</v>
      </c>
      <c r="P333" s="9"/>
      <c r="Q333" s="9">
        <v>7826</v>
      </c>
      <c r="R333" s="9"/>
      <c r="S333" s="9">
        <v>0</v>
      </c>
      <c r="T333" s="9"/>
      <c r="U333" s="9">
        <v>0</v>
      </c>
      <c r="V333" s="9"/>
      <c r="W333" s="9">
        <v>0</v>
      </c>
      <c r="X333" s="9"/>
      <c r="Y333" s="9">
        <v>0</v>
      </c>
      <c r="Z333" s="9"/>
      <c r="AA333" s="9">
        <v>0</v>
      </c>
      <c r="AB333" s="9"/>
      <c r="AC333" s="9">
        <f t="shared" si="10"/>
        <v>1839494</v>
      </c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</row>
    <row r="334" spans="1:63" s="3" customFormat="1" ht="12">
      <c r="A334" s="8" t="s">
        <v>281</v>
      </c>
      <c r="B334" s="8"/>
      <c r="C334" s="8" t="s">
        <v>68</v>
      </c>
      <c r="D334" s="8"/>
      <c r="E334" s="9">
        <v>369793</v>
      </c>
      <c r="F334" s="9"/>
      <c r="G334" s="9">
        <v>119344</v>
      </c>
      <c r="H334" s="9"/>
      <c r="I334" s="9">
        <v>123466</v>
      </c>
      <c r="J334" s="9"/>
      <c r="K334" s="9">
        <v>139351</v>
      </c>
      <c r="L334" s="9"/>
      <c r="M334" s="9">
        <v>16641</v>
      </c>
      <c r="N334" s="9"/>
      <c r="O334" s="9">
        <v>5761</v>
      </c>
      <c r="P334" s="9"/>
      <c r="Q334" s="9">
        <v>61013</v>
      </c>
      <c r="R334" s="9"/>
      <c r="S334" s="9">
        <v>0</v>
      </c>
      <c r="T334" s="9"/>
      <c r="U334" s="9">
        <v>0</v>
      </c>
      <c r="V334" s="9"/>
      <c r="W334" s="9">
        <v>0</v>
      </c>
      <c r="X334" s="9"/>
      <c r="Y334" s="9">
        <v>0</v>
      </c>
      <c r="Z334" s="9"/>
      <c r="AA334" s="9">
        <v>0</v>
      </c>
      <c r="AB334" s="9"/>
      <c r="AC334" s="9">
        <f aca="true" t="shared" si="11" ref="AC334:AC339">SUM(E334:AA334)</f>
        <v>835369</v>
      </c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</row>
    <row r="335" spans="1:62" s="3" customFormat="1" ht="12">
      <c r="A335" s="38" t="s">
        <v>282</v>
      </c>
      <c r="B335" s="38"/>
      <c r="C335" s="38" t="s">
        <v>554</v>
      </c>
      <c r="D335" s="38"/>
      <c r="E335" s="38">
        <v>132298.51</v>
      </c>
      <c r="F335" s="38"/>
      <c r="G335" s="38">
        <v>37692.35</v>
      </c>
      <c r="H335" s="38"/>
      <c r="I335" s="38">
        <v>27288.94</v>
      </c>
      <c r="J335" s="38"/>
      <c r="K335" s="38">
        <v>72719.14</v>
      </c>
      <c r="L335" s="38"/>
      <c r="M335" s="38">
        <v>7932.08</v>
      </c>
      <c r="N335" s="38"/>
      <c r="O335" s="38">
        <v>623</v>
      </c>
      <c r="P335" s="38"/>
      <c r="Q335" s="38">
        <v>6704.09</v>
      </c>
      <c r="R335" s="38"/>
      <c r="S335" s="38">
        <v>0</v>
      </c>
      <c r="T335" s="38"/>
      <c r="U335" s="38">
        <v>0</v>
      </c>
      <c r="V335" s="38"/>
      <c r="W335" s="38">
        <v>0</v>
      </c>
      <c r="X335" s="38"/>
      <c r="Y335" s="38">
        <v>0</v>
      </c>
      <c r="Z335" s="38"/>
      <c r="AA335" s="38">
        <v>1603.46</v>
      </c>
      <c r="AB335" s="38"/>
      <c r="AC335" s="3">
        <f t="shared" si="11"/>
        <v>286861.57000000007</v>
      </c>
      <c r="AD335" s="39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</row>
    <row r="336" spans="1:62" s="3" customFormat="1" ht="12">
      <c r="A336" s="38" t="s">
        <v>398</v>
      </c>
      <c r="B336" s="38"/>
      <c r="C336" s="38" t="s">
        <v>552</v>
      </c>
      <c r="D336" s="38"/>
      <c r="E336" s="38">
        <v>173274.09</v>
      </c>
      <c r="F336" s="38"/>
      <c r="G336" s="38">
        <v>75761.6</v>
      </c>
      <c r="H336" s="38"/>
      <c r="I336" s="38">
        <v>62458.38</v>
      </c>
      <c r="J336" s="38"/>
      <c r="K336" s="38">
        <v>37057.41</v>
      </c>
      <c r="L336" s="38"/>
      <c r="M336" s="38">
        <v>11125.63</v>
      </c>
      <c r="N336" s="38"/>
      <c r="O336" s="38">
        <v>2244</v>
      </c>
      <c r="P336" s="38"/>
      <c r="Q336" s="38">
        <v>262.62</v>
      </c>
      <c r="R336" s="38"/>
      <c r="S336" s="38">
        <v>0</v>
      </c>
      <c r="T336" s="38"/>
      <c r="U336" s="38">
        <v>0</v>
      </c>
      <c r="V336" s="38"/>
      <c r="W336" s="38">
        <v>0</v>
      </c>
      <c r="X336" s="38"/>
      <c r="Y336" s="38">
        <v>0</v>
      </c>
      <c r="Z336" s="38"/>
      <c r="AA336" s="38">
        <v>0</v>
      </c>
      <c r="AB336" s="38"/>
      <c r="AC336" s="3">
        <f t="shared" si="11"/>
        <v>362183.73</v>
      </c>
      <c r="AD336" s="39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</row>
    <row r="337" spans="1:63" s="3" customFormat="1" ht="12">
      <c r="A337" s="8" t="s">
        <v>284</v>
      </c>
      <c r="B337" s="8"/>
      <c r="C337" s="8" t="s">
        <v>54</v>
      </c>
      <c r="D337" s="8"/>
      <c r="E337" s="9">
        <v>464418</v>
      </c>
      <c r="F337" s="9"/>
      <c r="G337" s="9">
        <v>99919</v>
      </c>
      <c r="H337" s="9"/>
      <c r="I337" s="9">
        <v>173823</v>
      </c>
      <c r="J337" s="9"/>
      <c r="K337" s="9">
        <v>150772</v>
      </c>
      <c r="L337" s="9"/>
      <c r="M337" s="9">
        <v>19207</v>
      </c>
      <c r="N337" s="9"/>
      <c r="O337" s="9">
        <v>8726</v>
      </c>
      <c r="P337" s="9"/>
      <c r="Q337" s="9">
        <v>14715</v>
      </c>
      <c r="R337" s="9"/>
      <c r="S337" s="9">
        <v>0</v>
      </c>
      <c r="T337" s="9"/>
      <c r="U337" s="9">
        <v>0</v>
      </c>
      <c r="V337" s="9"/>
      <c r="W337" s="9">
        <v>0</v>
      </c>
      <c r="X337" s="9"/>
      <c r="Y337" s="9">
        <v>0</v>
      </c>
      <c r="Z337" s="9"/>
      <c r="AA337" s="9">
        <v>0</v>
      </c>
      <c r="AB337" s="9"/>
      <c r="AC337" s="9">
        <f t="shared" si="11"/>
        <v>931580</v>
      </c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</row>
    <row r="338" spans="1:63" s="3" customFormat="1" ht="12">
      <c r="A338" s="8" t="s">
        <v>285</v>
      </c>
      <c r="B338" s="8"/>
      <c r="C338" s="8" t="s">
        <v>57</v>
      </c>
      <c r="D338" s="8"/>
      <c r="E338" s="9">
        <v>482410</v>
      </c>
      <c r="F338" s="9"/>
      <c r="G338" s="9">
        <v>73387</v>
      </c>
      <c r="H338" s="9"/>
      <c r="I338" s="9">
        <v>113187</v>
      </c>
      <c r="J338" s="9"/>
      <c r="K338" s="9">
        <v>46042</v>
      </c>
      <c r="L338" s="9"/>
      <c r="M338" s="9">
        <v>9043</v>
      </c>
      <c r="N338" s="9"/>
      <c r="O338" s="9">
        <v>10880</v>
      </c>
      <c r="P338" s="9"/>
      <c r="Q338" s="9">
        <v>822</v>
      </c>
      <c r="R338" s="9"/>
      <c r="S338" s="9">
        <v>0</v>
      </c>
      <c r="T338" s="9"/>
      <c r="U338" s="9">
        <v>0</v>
      </c>
      <c r="V338" s="9"/>
      <c r="W338" s="9">
        <v>0</v>
      </c>
      <c r="X338" s="9"/>
      <c r="Y338" s="9">
        <v>0</v>
      </c>
      <c r="Z338" s="9"/>
      <c r="AA338" s="9">
        <v>0</v>
      </c>
      <c r="AB338" s="9"/>
      <c r="AC338" s="9">
        <f t="shared" si="11"/>
        <v>735771</v>
      </c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</row>
    <row r="339" spans="1:63" s="3" customFormat="1" ht="12">
      <c r="A339" s="8" t="s">
        <v>363</v>
      </c>
      <c r="B339" s="8"/>
      <c r="C339" s="8" t="s">
        <v>182</v>
      </c>
      <c r="D339" s="8"/>
      <c r="E339" s="9">
        <v>1339765</v>
      </c>
      <c r="F339" s="9"/>
      <c r="G339" s="9">
        <v>450725</v>
      </c>
      <c r="H339" s="9"/>
      <c r="I339" s="9">
        <v>595324</v>
      </c>
      <c r="J339" s="9"/>
      <c r="K339" s="9">
        <v>237249</v>
      </c>
      <c r="L339" s="9"/>
      <c r="M339" s="9">
        <v>55535</v>
      </c>
      <c r="N339" s="9"/>
      <c r="O339" s="9">
        <v>21646</v>
      </c>
      <c r="P339" s="9"/>
      <c r="Q339" s="9">
        <v>28591</v>
      </c>
      <c r="R339" s="9"/>
      <c r="S339" s="9">
        <v>0</v>
      </c>
      <c r="T339" s="9"/>
      <c r="U339" s="9">
        <v>0</v>
      </c>
      <c r="V339" s="9"/>
      <c r="W339" s="9">
        <v>0</v>
      </c>
      <c r="X339" s="9"/>
      <c r="Y339" s="9">
        <v>0</v>
      </c>
      <c r="Z339" s="9"/>
      <c r="AA339" s="9">
        <v>0</v>
      </c>
      <c r="AB339" s="9"/>
      <c r="AC339" s="9">
        <f t="shared" si="11"/>
        <v>2728835</v>
      </c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</row>
    <row r="340" spans="1:63" s="3" customFormat="1" ht="12">
      <c r="A340" s="8"/>
      <c r="B340" s="8"/>
      <c r="C340" s="8"/>
      <c r="D340" s="8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45" t="s">
        <v>8</v>
      </c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</row>
    <row r="341" spans="1:62" s="4" customFormat="1" ht="12">
      <c r="A341" s="36" t="s">
        <v>286</v>
      </c>
      <c r="B341" s="36"/>
      <c r="C341" s="36" t="s">
        <v>585</v>
      </c>
      <c r="D341" s="36"/>
      <c r="E341" s="36">
        <v>174681.44</v>
      </c>
      <c r="F341" s="36"/>
      <c r="G341" s="36">
        <v>27170.55</v>
      </c>
      <c r="H341" s="36"/>
      <c r="I341" s="36">
        <v>49451.5</v>
      </c>
      <c r="J341" s="36"/>
      <c r="K341" s="36">
        <v>42328.21</v>
      </c>
      <c r="L341" s="36"/>
      <c r="M341" s="36">
        <v>14024.91</v>
      </c>
      <c r="N341" s="36"/>
      <c r="O341" s="36">
        <v>1486</v>
      </c>
      <c r="P341" s="36"/>
      <c r="Q341" s="36">
        <v>279.8</v>
      </c>
      <c r="R341" s="36"/>
      <c r="S341" s="36">
        <v>0</v>
      </c>
      <c r="T341" s="36"/>
      <c r="U341" s="36">
        <v>0</v>
      </c>
      <c r="V341" s="36"/>
      <c r="W341" s="36">
        <v>12</v>
      </c>
      <c r="X341" s="36"/>
      <c r="Y341" s="36">
        <v>0</v>
      </c>
      <c r="Z341" s="36"/>
      <c r="AA341" s="36">
        <v>0</v>
      </c>
      <c r="AB341" s="36"/>
      <c r="AC341" s="4">
        <f aca="true" t="shared" si="12" ref="AC341:AC382">SUM(E341:AA341)</f>
        <v>309434.41</v>
      </c>
      <c r="AD341" s="37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</row>
    <row r="342" spans="1:62" s="3" customFormat="1" ht="12">
      <c r="A342" s="38" t="s">
        <v>287</v>
      </c>
      <c r="B342" s="38"/>
      <c r="C342" s="38" t="s">
        <v>593</v>
      </c>
      <c r="D342" s="38"/>
      <c r="E342" s="38">
        <v>91134.69</v>
      </c>
      <c r="F342" s="38"/>
      <c r="G342" s="38">
        <v>13554.78</v>
      </c>
      <c r="H342" s="38"/>
      <c r="I342" s="38">
        <v>39022.9</v>
      </c>
      <c r="J342" s="38"/>
      <c r="K342" s="38">
        <v>25418.36</v>
      </c>
      <c r="L342" s="38"/>
      <c r="M342" s="38">
        <v>7299.57</v>
      </c>
      <c r="N342" s="38"/>
      <c r="O342" s="38">
        <v>8525</v>
      </c>
      <c r="P342" s="38"/>
      <c r="Q342" s="38">
        <v>6779.21</v>
      </c>
      <c r="R342" s="38"/>
      <c r="S342" s="38">
        <v>0</v>
      </c>
      <c r="T342" s="38"/>
      <c r="U342" s="38">
        <v>0</v>
      </c>
      <c r="V342" s="38"/>
      <c r="W342" s="38">
        <v>9575.52</v>
      </c>
      <c r="X342" s="38"/>
      <c r="Y342" s="38">
        <v>0</v>
      </c>
      <c r="Z342" s="38"/>
      <c r="AA342" s="38">
        <v>0</v>
      </c>
      <c r="AB342" s="38"/>
      <c r="AC342" s="3">
        <f t="shared" si="12"/>
        <v>201310.02999999997</v>
      </c>
      <c r="AD342" s="39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</row>
    <row r="343" spans="1:63" s="3" customFormat="1" ht="12">
      <c r="A343" s="8" t="s">
        <v>288</v>
      </c>
      <c r="B343" s="8"/>
      <c r="C343" s="8" t="s">
        <v>20</v>
      </c>
      <c r="D343" s="8"/>
      <c r="E343" s="9">
        <v>2887108</v>
      </c>
      <c r="F343" s="9"/>
      <c r="G343" s="9">
        <v>757956</v>
      </c>
      <c r="H343" s="9"/>
      <c r="I343" s="9">
        <v>646178</v>
      </c>
      <c r="J343" s="9"/>
      <c r="K343" s="9">
        <v>947350</v>
      </c>
      <c r="L343" s="9"/>
      <c r="M343" s="9">
        <v>69955</v>
      </c>
      <c r="N343" s="9"/>
      <c r="O343" s="9">
        <v>21749</v>
      </c>
      <c r="P343" s="9"/>
      <c r="Q343" s="9">
        <v>56120</v>
      </c>
      <c r="R343" s="9"/>
      <c r="S343" s="9">
        <v>0</v>
      </c>
      <c r="T343" s="9"/>
      <c r="U343" s="9">
        <v>0</v>
      </c>
      <c r="V343" s="9"/>
      <c r="W343" s="9">
        <v>210000</v>
      </c>
      <c r="X343" s="9"/>
      <c r="Y343" s="9">
        <v>0</v>
      </c>
      <c r="Z343" s="9"/>
      <c r="AA343" s="9">
        <v>0</v>
      </c>
      <c r="AB343" s="9"/>
      <c r="AC343" s="9">
        <f t="shared" si="12"/>
        <v>5596416</v>
      </c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</row>
    <row r="344" spans="1:63" s="3" customFormat="1" ht="12">
      <c r="A344" s="9" t="s">
        <v>508</v>
      </c>
      <c r="B344" s="9"/>
      <c r="C344" s="9" t="s">
        <v>186</v>
      </c>
      <c r="D344" s="9"/>
      <c r="E344" s="9">
        <v>114</v>
      </c>
      <c r="F344" s="9"/>
      <c r="G344" s="9">
        <v>51721</v>
      </c>
      <c r="H344" s="9"/>
      <c r="I344" s="9">
        <v>27270</v>
      </c>
      <c r="J344" s="9"/>
      <c r="K344" s="9">
        <v>0</v>
      </c>
      <c r="L344" s="9"/>
      <c r="M344" s="9">
        <v>1452</v>
      </c>
      <c r="N344" s="9"/>
      <c r="O344" s="9">
        <v>490</v>
      </c>
      <c r="P344" s="9"/>
      <c r="Q344" s="9">
        <v>0</v>
      </c>
      <c r="R344" s="9"/>
      <c r="S344" s="9">
        <v>0</v>
      </c>
      <c r="T344" s="9"/>
      <c r="U344" s="9">
        <v>0</v>
      </c>
      <c r="V344" s="9"/>
      <c r="W344" s="9">
        <v>0</v>
      </c>
      <c r="X344" s="9"/>
      <c r="Y344" s="9">
        <v>0</v>
      </c>
      <c r="Z344" s="9"/>
      <c r="AA344" s="9">
        <v>0</v>
      </c>
      <c r="AB344" s="9"/>
      <c r="AC344" s="9">
        <f t="shared" si="12"/>
        <v>81047</v>
      </c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</row>
    <row r="345" spans="1:63" s="3" customFormat="1" ht="12">
      <c r="A345" s="8" t="s">
        <v>290</v>
      </c>
      <c r="B345" s="8"/>
      <c r="C345" s="8" t="s">
        <v>98</v>
      </c>
      <c r="D345" s="8"/>
      <c r="E345" s="9">
        <v>2104442</v>
      </c>
      <c r="F345" s="9"/>
      <c r="G345" s="9">
        <v>608560</v>
      </c>
      <c r="H345" s="9"/>
      <c r="I345" s="9">
        <v>996827</v>
      </c>
      <c r="J345" s="9"/>
      <c r="K345" s="9">
        <v>527500</v>
      </c>
      <c r="L345" s="9"/>
      <c r="M345" s="9">
        <v>100376</v>
      </c>
      <c r="N345" s="9"/>
      <c r="O345" s="9">
        <v>30927</v>
      </c>
      <c r="P345" s="9"/>
      <c r="Q345" s="9">
        <v>51341</v>
      </c>
      <c r="R345" s="9"/>
      <c r="S345" s="9">
        <v>0</v>
      </c>
      <c r="T345" s="9"/>
      <c r="U345" s="9">
        <v>0</v>
      </c>
      <c r="V345" s="9"/>
      <c r="W345" s="9">
        <v>0</v>
      </c>
      <c r="X345" s="9"/>
      <c r="Y345" s="9">
        <v>0</v>
      </c>
      <c r="Z345" s="9"/>
      <c r="AA345" s="9">
        <v>0</v>
      </c>
      <c r="AB345" s="9"/>
      <c r="AC345" s="9">
        <f t="shared" si="12"/>
        <v>4419973</v>
      </c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</row>
    <row r="346" spans="1:62" s="3" customFormat="1" ht="12">
      <c r="A346" s="38" t="s">
        <v>291</v>
      </c>
      <c r="B346" s="38"/>
      <c r="C346" s="38" t="s">
        <v>547</v>
      </c>
      <c r="D346" s="38"/>
      <c r="E346" s="38">
        <v>285510.58</v>
      </c>
      <c r="F346" s="38"/>
      <c r="G346" s="38">
        <v>70260.17</v>
      </c>
      <c r="H346" s="38"/>
      <c r="I346" s="38">
        <v>99027.27</v>
      </c>
      <c r="J346" s="38"/>
      <c r="K346" s="38">
        <v>68712.89</v>
      </c>
      <c r="L346" s="38"/>
      <c r="M346" s="38">
        <v>27052.37</v>
      </c>
      <c r="N346" s="38"/>
      <c r="O346" s="38">
        <v>4824</v>
      </c>
      <c r="P346" s="38"/>
      <c r="Q346" s="38">
        <v>17499.09</v>
      </c>
      <c r="R346" s="38"/>
      <c r="S346" s="38">
        <v>0</v>
      </c>
      <c r="T346" s="38"/>
      <c r="U346" s="38">
        <v>0</v>
      </c>
      <c r="V346" s="38"/>
      <c r="W346" s="38">
        <v>0</v>
      </c>
      <c r="X346" s="38"/>
      <c r="Y346" s="38">
        <v>0</v>
      </c>
      <c r="Z346" s="38"/>
      <c r="AA346" s="38">
        <v>0</v>
      </c>
      <c r="AB346" s="38"/>
      <c r="AC346" s="3">
        <f t="shared" si="12"/>
        <v>572886.37</v>
      </c>
      <c r="AD346" s="39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</row>
    <row r="347" spans="1:62" s="3" customFormat="1" ht="12">
      <c r="A347" s="38" t="s">
        <v>292</v>
      </c>
      <c r="B347" s="38"/>
      <c r="C347" s="38" t="s">
        <v>548</v>
      </c>
      <c r="D347" s="38"/>
      <c r="E347" s="38">
        <v>271863.61</v>
      </c>
      <c r="F347" s="38"/>
      <c r="G347" s="38">
        <v>57397.6</v>
      </c>
      <c r="H347" s="38"/>
      <c r="I347" s="38">
        <v>78521.47</v>
      </c>
      <c r="J347" s="38"/>
      <c r="K347" s="38">
        <v>52294.62</v>
      </c>
      <c r="L347" s="38"/>
      <c r="M347" s="38">
        <v>14361.18</v>
      </c>
      <c r="N347" s="38"/>
      <c r="O347" s="38">
        <v>3079.95</v>
      </c>
      <c r="P347" s="38"/>
      <c r="Q347" s="38">
        <v>23723.33</v>
      </c>
      <c r="R347" s="38"/>
      <c r="S347" s="38">
        <v>0</v>
      </c>
      <c r="T347" s="38"/>
      <c r="U347" s="38">
        <v>0</v>
      </c>
      <c r="V347" s="38"/>
      <c r="W347" s="38">
        <v>0</v>
      </c>
      <c r="X347" s="38"/>
      <c r="Y347" s="38">
        <v>0</v>
      </c>
      <c r="Z347" s="38"/>
      <c r="AA347" s="38">
        <v>0</v>
      </c>
      <c r="AB347" s="38"/>
      <c r="AC347" s="3">
        <f t="shared" si="12"/>
        <v>501241.75999999995</v>
      </c>
      <c r="AD347" s="39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</row>
    <row r="348" spans="1:63" s="3" customFormat="1" ht="12">
      <c r="A348" s="8" t="s">
        <v>293</v>
      </c>
      <c r="B348" s="8"/>
      <c r="C348" s="8" t="s">
        <v>26</v>
      </c>
      <c r="D348" s="8"/>
      <c r="E348" s="9">
        <v>1553136</v>
      </c>
      <c r="F348" s="9"/>
      <c r="G348" s="9">
        <v>0</v>
      </c>
      <c r="H348" s="9"/>
      <c r="I348" s="9">
        <f>15460976-1553136-1609198</f>
        <v>12298642</v>
      </c>
      <c r="J348" s="9"/>
      <c r="K348" s="9">
        <v>0</v>
      </c>
      <c r="L348" s="9"/>
      <c r="M348" s="9">
        <v>0</v>
      </c>
      <c r="N348" s="9"/>
      <c r="O348" s="9">
        <v>0</v>
      </c>
      <c r="P348" s="9"/>
      <c r="Q348" s="9">
        <v>1609198</v>
      </c>
      <c r="R348" s="9"/>
      <c r="S348" s="9">
        <v>0</v>
      </c>
      <c r="T348" s="9"/>
      <c r="U348" s="9">
        <v>0</v>
      </c>
      <c r="V348" s="9"/>
      <c r="W348" s="9">
        <v>0</v>
      </c>
      <c r="X348" s="9"/>
      <c r="Y348" s="9">
        <v>0</v>
      </c>
      <c r="Z348" s="9"/>
      <c r="AA348" s="9">
        <v>0</v>
      </c>
      <c r="AB348" s="9"/>
      <c r="AC348" s="9">
        <f t="shared" si="12"/>
        <v>15460976</v>
      </c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</row>
    <row r="349" spans="1:63" s="3" customFormat="1" ht="12">
      <c r="A349" s="8" t="s">
        <v>294</v>
      </c>
      <c r="B349" s="8"/>
      <c r="C349" s="8" t="s">
        <v>295</v>
      </c>
      <c r="D349" s="8"/>
      <c r="E349" s="9">
        <v>1506288</v>
      </c>
      <c r="F349" s="9"/>
      <c r="G349" s="9">
        <v>608081</v>
      </c>
      <c r="H349" s="9"/>
      <c r="I349" s="9">
        <v>410465</v>
      </c>
      <c r="J349" s="9"/>
      <c r="K349" s="9">
        <v>276408</v>
      </c>
      <c r="L349" s="9"/>
      <c r="M349" s="9">
        <v>71376</v>
      </c>
      <c r="N349" s="9"/>
      <c r="O349" s="9">
        <v>11754</v>
      </c>
      <c r="P349" s="9"/>
      <c r="Q349" s="9">
        <v>41106</v>
      </c>
      <c r="R349" s="9"/>
      <c r="S349" s="9">
        <v>0</v>
      </c>
      <c r="T349" s="9"/>
      <c r="U349" s="9">
        <v>0</v>
      </c>
      <c r="V349" s="9"/>
      <c r="W349" s="9">
        <v>305000</v>
      </c>
      <c r="X349" s="9"/>
      <c r="Y349" s="9">
        <v>0</v>
      </c>
      <c r="Z349" s="9"/>
      <c r="AA349" s="9">
        <v>0</v>
      </c>
      <c r="AB349" s="9"/>
      <c r="AC349" s="9">
        <f t="shared" si="12"/>
        <v>3230478</v>
      </c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</row>
    <row r="350" spans="1:63" s="3" customFormat="1" ht="12">
      <c r="A350" s="8" t="s">
        <v>296</v>
      </c>
      <c r="B350" s="8"/>
      <c r="C350" s="8" t="s">
        <v>23</v>
      </c>
      <c r="D350" s="8"/>
      <c r="E350" s="9">
        <v>242102</v>
      </c>
      <c r="F350" s="9"/>
      <c r="G350" s="9">
        <v>0</v>
      </c>
      <c r="H350" s="9"/>
      <c r="I350" s="9">
        <f>2359329-242102-134373</f>
        <v>1982854</v>
      </c>
      <c r="J350" s="9"/>
      <c r="K350" s="9">
        <v>0</v>
      </c>
      <c r="L350" s="9"/>
      <c r="M350" s="9">
        <v>0</v>
      </c>
      <c r="N350" s="9"/>
      <c r="O350" s="9">
        <v>0</v>
      </c>
      <c r="P350" s="9"/>
      <c r="Q350" s="9">
        <v>134373</v>
      </c>
      <c r="R350" s="9"/>
      <c r="S350" s="9">
        <v>0</v>
      </c>
      <c r="T350" s="9"/>
      <c r="U350" s="9">
        <v>0</v>
      </c>
      <c r="V350" s="9"/>
      <c r="W350" s="9">
        <v>100000</v>
      </c>
      <c r="X350" s="9"/>
      <c r="Y350" s="9">
        <v>0</v>
      </c>
      <c r="Z350" s="9"/>
      <c r="AA350" s="9">
        <v>0</v>
      </c>
      <c r="AB350" s="9"/>
      <c r="AC350" s="9">
        <f t="shared" si="12"/>
        <v>2459329</v>
      </c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</row>
    <row r="351" spans="1:62" s="3" customFormat="1" ht="12">
      <c r="A351" s="38" t="s">
        <v>297</v>
      </c>
      <c r="B351" s="38"/>
      <c r="C351" s="38" t="s">
        <v>562</v>
      </c>
      <c r="D351" s="38"/>
      <c r="E351" s="38">
        <v>194133.46</v>
      </c>
      <c r="F351" s="38"/>
      <c r="G351" s="38">
        <v>73019</v>
      </c>
      <c r="H351" s="38"/>
      <c r="I351" s="38">
        <v>77464.83</v>
      </c>
      <c r="J351" s="38"/>
      <c r="K351" s="38">
        <v>35091.62</v>
      </c>
      <c r="L351" s="38"/>
      <c r="M351" s="38">
        <v>6466.8</v>
      </c>
      <c r="N351" s="38"/>
      <c r="O351" s="38">
        <v>3505.04</v>
      </c>
      <c r="P351" s="38"/>
      <c r="Q351" s="38">
        <v>3254.85</v>
      </c>
      <c r="R351" s="38"/>
      <c r="S351" s="38">
        <v>14198.97</v>
      </c>
      <c r="T351" s="38"/>
      <c r="U351" s="38">
        <v>1589.19</v>
      </c>
      <c r="V351" s="38"/>
      <c r="W351" s="38">
        <v>0</v>
      </c>
      <c r="X351" s="38"/>
      <c r="Y351" s="38">
        <v>0</v>
      </c>
      <c r="Z351" s="38"/>
      <c r="AA351" s="38">
        <v>0</v>
      </c>
      <c r="AB351" s="38"/>
      <c r="AC351" s="3">
        <f t="shared" si="12"/>
        <v>408723.7599999999</v>
      </c>
      <c r="AD351" s="39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</row>
    <row r="352" spans="1:62" s="3" customFormat="1" ht="12">
      <c r="A352" s="38" t="s">
        <v>298</v>
      </c>
      <c r="B352" s="38"/>
      <c r="C352" s="38" t="s">
        <v>571</v>
      </c>
      <c r="D352" s="38"/>
      <c r="E352" s="38">
        <v>286933.09</v>
      </c>
      <c r="F352" s="38"/>
      <c r="G352" s="38">
        <v>100730.79</v>
      </c>
      <c r="H352" s="38"/>
      <c r="I352" s="38">
        <v>38995.6</v>
      </c>
      <c r="J352" s="38"/>
      <c r="K352" s="38">
        <v>45800.35</v>
      </c>
      <c r="L352" s="38"/>
      <c r="M352" s="38">
        <v>12439.87</v>
      </c>
      <c r="N352" s="38"/>
      <c r="O352" s="38">
        <v>1198.5</v>
      </c>
      <c r="P352" s="38"/>
      <c r="Q352" s="38">
        <v>0</v>
      </c>
      <c r="R352" s="38"/>
      <c r="S352" s="38">
        <v>0</v>
      </c>
      <c r="T352" s="38"/>
      <c r="U352" s="38">
        <v>0</v>
      </c>
      <c r="V352" s="38"/>
      <c r="W352" s="38">
        <v>25000</v>
      </c>
      <c r="X352" s="38"/>
      <c r="Y352" s="38">
        <v>0</v>
      </c>
      <c r="Z352" s="38"/>
      <c r="AA352" s="38">
        <v>0</v>
      </c>
      <c r="AB352" s="38"/>
      <c r="AC352" s="3">
        <f t="shared" si="12"/>
        <v>511098.19999999995</v>
      </c>
      <c r="AD352" s="39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</row>
    <row r="353" spans="1:63" s="3" customFormat="1" ht="12">
      <c r="A353" s="8" t="s">
        <v>299</v>
      </c>
      <c r="B353" s="8"/>
      <c r="C353" s="8" t="s">
        <v>23</v>
      </c>
      <c r="D353" s="8"/>
      <c r="E353" s="9">
        <v>976985</v>
      </c>
      <c r="F353" s="9"/>
      <c r="G353" s="9">
        <v>260878</v>
      </c>
      <c r="H353" s="9"/>
      <c r="I353" s="9">
        <v>330544</v>
      </c>
      <c r="J353" s="9"/>
      <c r="K353" s="9">
        <v>430816</v>
      </c>
      <c r="L353" s="9"/>
      <c r="M353" s="9">
        <v>48704</v>
      </c>
      <c r="N353" s="9"/>
      <c r="O353" s="9">
        <v>8638</v>
      </c>
      <c r="P353" s="9"/>
      <c r="Q353" s="9">
        <v>48570</v>
      </c>
      <c r="R353" s="9"/>
      <c r="S353" s="9">
        <v>0</v>
      </c>
      <c r="T353" s="9"/>
      <c r="U353" s="9">
        <v>0</v>
      </c>
      <c r="V353" s="9"/>
      <c r="W353" s="9">
        <v>0</v>
      </c>
      <c r="X353" s="9"/>
      <c r="Y353" s="9">
        <v>0</v>
      </c>
      <c r="Z353" s="9"/>
      <c r="AA353" s="9">
        <v>0</v>
      </c>
      <c r="AB353" s="9"/>
      <c r="AC353" s="9">
        <f t="shared" si="12"/>
        <v>2105135</v>
      </c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</row>
    <row r="354" spans="1:63" s="3" customFormat="1" ht="12">
      <c r="A354" s="8" t="s">
        <v>300</v>
      </c>
      <c r="B354" s="8"/>
      <c r="C354" s="8" t="s">
        <v>48</v>
      </c>
      <c r="D354" s="8"/>
      <c r="E354" s="9">
        <v>739092</v>
      </c>
      <c r="F354" s="9"/>
      <c r="G354" s="9">
        <v>200731</v>
      </c>
      <c r="H354" s="9"/>
      <c r="I354" s="9">
        <v>141339</v>
      </c>
      <c r="J354" s="9"/>
      <c r="K354" s="9">
        <v>210191</v>
      </c>
      <c r="L354" s="9"/>
      <c r="M354" s="9">
        <v>33800</v>
      </c>
      <c r="N354" s="9"/>
      <c r="O354" s="9">
        <v>16022</v>
      </c>
      <c r="P354" s="9"/>
      <c r="Q354" s="9">
        <v>43805</v>
      </c>
      <c r="R354" s="9"/>
      <c r="S354" s="9">
        <v>0</v>
      </c>
      <c r="T354" s="9"/>
      <c r="U354" s="9">
        <v>0</v>
      </c>
      <c r="V354" s="9"/>
      <c r="W354" s="9">
        <v>0</v>
      </c>
      <c r="X354" s="9"/>
      <c r="Y354" s="9">
        <v>0</v>
      </c>
      <c r="Z354" s="9"/>
      <c r="AA354" s="9">
        <v>0</v>
      </c>
      <c r="AB354" s="9"/>
      <c r="AC354" s="9">
        <f t="shared" si="12"/>
        <v>1384980</v>
      </c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</row>
    <row r="355" spans="1:63" s="3" customFormat="1" ht="12">
      <c r="A355" s="8" t="s">
        <v>509</v>
      </c>
      <c r="B355" s="8"/>
      <c r="C355" s="8" t="s">
        <v>56</v>
      </c>
      <c r="D355" s="8"/>
      <c r="E355" s="9">
        <v>46801</v>
      </c>
      <c r="F355" s="9"/>
      <c r="G355" s="9">
        <v>0</v>
      </c>
      <c r="H355" s="9"/>
      <c r="I355" s="9">
        <f>636060-46801-195</f>
        <v>589064</v>
      </c>
      <c r="J355" s="9"/>
      <c r="K355" s="9">
        <v>0</v>
      </c>
      <c r="L355" s="9"/>
      <c r="M355" s="9">
        <v>0</v>
      </c>
      <c r="N355" s="9"/>
      <c r="O355" s="9">
        <v>0</v>
      </c>
      <c r="P355" s="9"/>
      <c r="Q355" s="9">
        <v>195</v>
      </c>
      <c r="R355" s="9"/>
      <c r="S355" s="9">
        <v>0</v>
      </c>
      <c r="T355" s="9"/>
      <c r="U355" s="9">
        <v>0</v>
      </c>
      <c r="V355" s="9"/>
      <c r="W355" s="9">
        <v>147503</v>
      </c>
      <c r="X355" s="9"/>
      <c r="Y355" s="9">
        <v>0</v>
      </c>
      <c r="Z355" s="9"/>
      <c r="AA355" s="9">
        <v>0</v>
      </c>
      <c r="AB355" s="9"/>
      <c r="AC355" s="9">
        <f t="shared" si="12"/>
        <v>783563</v>
      </c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</row>
    <row r="356" spans="1:63" s="3" customFormat="1" ht="12">
      <c r="A356" s="8" t="s">
        <v>301</v>
      </c>
      <c r="B356" s="8"/>
      <c r="C356" s="8" t="s">
        <v>302</v>
      </c>
      <c r="D356" s="8"/>
      <c r="E356" s="9">
        <v>22528100</v>
      </c>
      <c r="F356" s="9"/>
      <c r="G356" s="9">
        <v>0</v>
      </c>
      <c r="H356" s="9"/>
      <c r="I356" s="9">
        <v>5652266</v>
      </c>
      <c r="J356" s="9"/>
      <c r="K356" s="9">
        <v>4602975</v>
      </c>
      <c r="L356" s="9"/>
      <c r="M356" s="9">
        <v>0</v>
      </c>
      <c r="N356" s="9"/>
      <c r="O356" s="9">
        <v>0</v>
      </c>
      <c r="P356" s="9"/>
      <c r="Q356" s="9">
        <v>819084</v>
      </c>
      <c r="R356" s="9"/>
      <c r="S356" s="9">
        <v>13843</v>
      </c>
      <c r="T356" s="9"/>
      <c r="U356" s="9">
        <v>4385</v>
      </c>
      <c r="V356" s="9"/>
      <c r="W356" s="9">
        <v>1600000</v>
      </c>
      <c r="X356" s="9"/>
      <c r="Y356" s="9">
        <v>0</v>
      </c>
      <c r="Z356" s="9"/>
      <c r="AA356" s="9">
        <v>0</v>
      </c>
      <c r="AB356" s="9"/>
      <c r="AC356" s="9">
        <f t="shared" si="12"/>
        <v>35220653</v>
      </c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</row>
    <row r="357" spans="1:63" s="3" customFormat="1" ht="12">
      <c r="A357" s="8" t="s">
        <v>510</v>
      </c>
      <c r="B357" s="8"/>
      <c r="C357" s="8" t="s">
        <v>56</v>
      </c>
      <c r="D357" s="8"/>
      <c r="E357" s="9">
        <v>781603</v>
      </c>
      <c r="F357" s="9"/>
      <c r="G357" s="9">
        <v>0</v>
      </c>
      <c r="H357" s="9"/>
      <c r="I357" s="9">
        <f>1633176-781603-17713</f>
        <v>833860</v>
      </c>
      <c r="J357" s="9"/>
      <c r="K357" s="9">
        <v>0</v>
      </c>
      <c r="L357" s="9"/>
      <c r="M357" s="9">
        <v>0</v>
      </c>
      <c r="N357" s="9"/>
      <c r="O357" s="9">
        <v>0</v>
      </c>
      <c r="P357" s="9"/>
      <c r="Q357" s="9">
        <v>17713</v>
      </c>
      <c r="R357" s="9"/>
      <c r="S357" s="9">
        <v>0</v>
      </c>
      <c r="T357" s="9"/>
      <c r="U357" s="9">
        <v>0</v>
      </c>
      <c r="V357" s="9"/>
      <c r="W357" s="9">
        <v>7500</v>
      </c>
      <c r="X357" s="9"/>
      <c r="Y357" s="9">
        <v>0</v>
      </c>
      <c r="Z357" s="9"/>
      <c r="AA357" s="9">
        <v>0</v>
      </c>
      <c r="AB357" s="9"/>
      <c r="AC357" s="9">
        <f t="shared" si="12"/>
        <v>1640676</v>
      </c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</row>
    <row r="358" spans="1:63" s="3" customFormat="1" ht="12">
      <c r="A358" s="8" t="s">
        <v>303</v>
      </c>
      <c r="B358" s="8"/>
      <c r="C358" s="8" t="s">
        <v>27</v>
      </c>
      <c r="D358" s="8"/>
      <c r="E358" s="9">
        <v>842324</v>
      </c>
      <c r="F358" s="9"/>
      <c r="G358" s="9">
        <v>0</v>
      </c>
      <c r="H358" s="9"/>
      <c r="I358" s="9">
        <f>1925534-842324-4687</f>
        <v>1078523</v>
      </c>
      <c r="J358" s="9"/>
      <c r="K358" s="9">
        <v>0</v>
      </c>
      <c r="L358" s="9"/>
      <c r="M358" s="9">
        <v>0</v>
      </c>
      <c r="N358" s="9"/>
      <c r="O358" s="9">
        <v>0</v>
      </c>
      <c r="P358" s="9"/>
      <c r="Q358" s="9">
        <v>4687</v>
      </c>
      <c r="R358" s="9"/>
      <c r="S358" s="9">
        <v>0</v>
      </c>
      <c r="T358" s="9"/>
      <c r="U358" s="9">
        <v>0</v>
      </c>
      <c r="V358" s="9"/>
      <c r="W358" s="9">
        <v>0</v>
      </c>
      <c r="X358" s="9"/>
      <c r="Y358" s="9">
        <v>0</v>
      </c>
      <c r="Z358" s="9"/>
      <c r="AA358" s="9">
        <v>0</v>
      </c>
      <c r="AB358" s="9"/>
      <c r="AC358" s="9">
        <f t="shared" si="12"/>
        <v>1925534</v>
      </c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</row>
    <row r="359" spans="1:63" s="3" customFormat="1" ht="12">
      <c r="A359" s="8" t="s">
        <v>367</v>
      </c>
      <c r="B359" s="8"/>
      <c r="C359" s="8" t="s">
        <v>23</v>
      </c>
      <c r="D359" s="8"/>
      <c r="E359" s="9">
        <v>359200</v>
      </c>
      <c r="F359" s="9"/>
      <c r="G359" s="9">
        <v>0</v>
      </c>
      <c r="H359" s="9"/>
      <c r="I359" s="9">
        <f>2299674-359200-37138</f>
        <v>1903336</v>
      </c>
      <c r="J359" s="9"/>
      <c r="K359" s="9">
        <v>0</v>
      </c>
      <c r="L359" s="9"/>
      <c r="M359" s="9">
        <v>0</v>
      </c>
      <c r="N359" s="9"/>
      <c r="O359" s="9">
        <v>0</v>
      </c>
      <c r="P359" s="9"/>
      <c r="Q359" s="9">
        <v>37138</v>
      </c>
      <c r="R359" s="9"/>
      <c r="S359" s="9">
        <v>0</v>
      </c>
      <c r="T359" s="9"/>
      <c r="U359" s="9">
        <v>0</v>
      </c>
      <c r="V359" s="9"/>
      <c r="W359" s="9">
        <v>136500</v>
      </c>
      <c r="X359" s="9"/>
      <c r="Y359" s="9">
        <v>0</v>
      </c>
      <c r="Z359" s="9"/>
      <c r="AA359" s="9">
        <v>0</v>
      </c>
      <c r="AB359" s="9"/>
      <c r="AC359" s="9">
        <f t="shared" si="12"/>
        <v>2436174</v>
      </c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</row>
    <row r="360" spans="1:63" s="3" customFormat="1" ht="12">
      <c r="A360" s="8" t="s">
        <v>304</v>
      </c>
      <c r="B360" s="8"/>
      <c r="C360" s="8" t="s">
        <v>50</v>
      </c>
      <c r="D360" s="8"/>
      <c r="E360" s="9">
        <v>307353</v>
      </c>
      <c r="F360" s="9"/>
      <c r="G360" s="9">
        <v>58755</v>
      </c>
      <c r="H360" s="9"/>
      <c r="I360" s="9">
        <v>105953</v>
      </c>
      <c r="J360" s="9"/>
      <c r="K360" s="9">
        <v>42611</v>
      </c>
      <c r="L360" s="9"/>
      <c r="M360" s="9">
        <v>12168</v>
      </c>
      <c r="N360" s="9"/>
      <c r="O360" s="9">
        <v>16918</v>
      </c>
      <c r="P360" s="9"/>
      <c r="Q360" s="9">
        <v>0</v>
      </c>
      <c r="R360" s="9"/>
      <c r="S360" s="9">
        <v>0</v>
      </c>
      <c r="T360" s="9"/>
      <c r="U360" s="9">
        <v>0</v>
      </c>
      <c r="V360" s="9"/>
      <c r="W360" s="9">
        <v>0</v>
      </c>
      <c r="X360" s="9"/>
      <c r="Y360" s="9">
        <v>0</v>
      </c>
      <c r="Z360" s="9"/>
      <c r="AA360" s="9">
        <v>0</v>
      </c>
      <c r="AB360" s="9"/>
      <c r="AC360" s="9">
        <f t="shared" si="12"/>
        <v>543758</v>
      </c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</row>
    <row r="361" spans="1:63" s="3" customFormat="1" ht="12">
      <c r="A361" s="8" t="s">
        <v>305</v>
      </c>
      <c r="B361" s="8"/>
      <c r="C361" s="8" t="s">
        <v>98</v>
      </c>
      <c r="D361" s="8"/>
      <c r="E361" s="9">
        <v>2686764</v>
      </c>
      <c r="F361" s="9"/>
      <c r="G361" s="9">
        <v>871405</v>
      </c>
      <c r="H361" s="9"/>
      <c r="I361" s="9">
        <v>707436</v>
      </c>
      <c r="J361" s="9"/>
      <c r="K361" s="9">
        <v>1089830</v>
      </c>
      <c r="L361" s="9"/>
      <c r="M361" s="9">
        <v>187970</v>
      </c>
      <c r="N361" s="9"/>
      <c r="O361" s="9">
        <v>17406</v>
      </c>
      <c r="P361" s="9"/>
      <c r="Q361" s="9">
        <v>293962</v>
      </c>
      <c r="R361" s="9"/>
      <c r="S361" s="9">
        <v>0</v>
      </c>
      <c r="T361" s="9"/>
      <c r="U361" s="9">
        <v>0</v>
      </c>
      <c r="V361" s="9"/>
      <c r="W361" s="9">
        <v>265000</v>
      </c>
      <c r="X361" s="9"/>
      <c r="Y361" s="9">
        <v>0</v>
      </c>
      <c r="Z361" s="9"/>
      <c r="AA361" s="9">
        <v>0</v>
      </c>
      <c r="AB361" s="9"/>
      <c r="AC361" s="9">
        <f t="shared" si="12"/>
        <v>6119773</v>
      </c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</row>
    <row r="362" spans="1:63" s="3" customFormat="1" ht="12">
      <c r="A362" s="8" t="s">
        <v>306</v>
      </c>
      <c r="B362" s="8"/>
      <c r="C362" s="8" t="s">
        <v>66</v>
      </c>
      <c r="D362" s="8"/>
      <c r="E362" s="9">
        <v>219094</v>
      </c>
      <c r="F362" s="9"/>
      <c r="G362" s="9">
        <v>68025</v>
      </c>
      <c r="H362" s="9"/>
      <c r="I362" s="9">
        <v>51778</v>
      </c>
      <c r="J362" s="9"/>
      <c r="K362" s="9">
        <v>67841</v>
      </c>
      <c r="L362" s="9"/>
      <c r="M362" s="9">
        <v>15037</v>
      </c>
      <c r="N362" s="9"/>
      <c r="O362" s="9">
        <v>17813</v>
      </c>
      <c r="P362" s="9"/>
      <c r="Q362" s="9">
        <v>3433</v>
      </c>
      <c r="R362" s="9"/>
      <c r="S362" s="9">
        <v>0</v>
      </c>
      <c r="T362" s="9"/>
      <c r="U362" s="9">
        <v>0</v>
      </c>
      <c r="V362" s="9"/>
      <c r="W362" s="9">
        <v>0</v>
      </c>
      <c r="X362" s="9"/>
      <c r="Y362" s="9">
        <v>0</v>
      </c>
      <c r="Z362" s="9"/>
      <c r="AA362" s="9">
        <v>0</v>
      </c>
      <c r="AB362" s="9"/>
      <c r="AC362" s="9">
        <f t="shared" si="12"/>
        <v>443021</v>
      </c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</row>
    <row r="363" spans="1:63" s="3" customFormat="1" ht="12">
      <c r="A363" s="8" t="s">
        <v>307</v>
      </c>
      <c r="B363" s="8"/>
      <c r="C363" s="8" t="s">
        <v>59</v>
      </c>
      <c r="D363" s="8"/>
      <c r="E363" s="9">
        <v>2655506</v>
      </c>
      <c r="F363" s="9"/>
      <c r="G363" s="9">
        <v>980995</v>
      </c>
      <c r="H363" s="9"/>
      <c r="I363" s="9">
        <v>563943</v>
      </c>
      <c r="J363" s="9"/>
      <c r="K363" s="9">
        <v>784711</v>
      </c>
      <c r="L363" s="9"/>
      <c r="M363" s="9">
        <v>121077</v>
      </c>
      <c r="N363" s="9"/>
      <c r="O363" s="9">
        <v>30389</v>
      </c>
      <c r="P363" s="9"/>
      <c r="Q363" s="9">
        <v>437474</v>
      </c>
      <c r="R363" s="9"/>
      <c r="S363" s="9">
        <v>0</v>
      </c>
      <c r="T363" s="9"/>
      <c r="U363" s="9">
        <v>0</v>
      </c>
      <c r="V363" s="9"/>
      <c r="W363" s="9">
        <v>12110</v>
      </c>
      <c r="X363" s="9"/>
      <c r="Y363" s="9">
        <v>0</v>
      </c>
      <c r="Z363" s="9"/>
      <c r="AA363" s="9">
        <v>0</v>
      </c>
      <c r="AB363" s="9"/>
      <c r="AC363" s="9">
        <f t="shared" si="12"/>
        <v>5586205</v>
      </c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</row>
    <row r="364" spans="1:63" s="3" customFormat="1" ht="12">
      <c r="A364" s="8" t="s">
        <v>308</v>
      </c>
      <c r="B364" s="8"/>
      <c r="C364" s="8" t="s">
        <v>28</v>
      </c>
      <c r="D364" s="8"/>
      <c r="E364" s="9">
        <v>1419775</v>
      </c>
      <c r="F364" s="9"/>
      <c r="G364" s="9">
        <v>0</v>
      </c>
      <c r="H364" s="9"/>
      <c r="I364" s="9">
        <v>418287</v>
      </c>
      <c r="J364" s="9"/>
      <c r="K364" s="9">
        <v>369173</v>
      </c>
      <c r="L364" s="9"/>
      <c r="M364" s="9">
        <v>0</v>
      </c>
      <c r="N364" s="9"/>
      <c r="O364" s="9">
        <v>0</v>
      </c>
      <c r="P364" s="9"/>
      <c r="Q364" s="9">
        <v>73917</v>
      </c>
      <c r="R364" s="9"/>
      <c r="S364" s="9">
        <v>0</v>
      </c>
      <c r="T364" s="9"/>
      <c r="U364" s="9">
        <v>0</v>
      </c>
      <c r="V364" s="9"/>
      <c r="W364" s="9">
        <v>0</v>
      </c>
      <c r="X364" s="9"/>
      <c r="Y364" s="9">
        <v>0</v>
      </c>
      <c r="Z364" s="9"/>
      <c r="AA364" s="9">
        <v>445145</v>
      </c>
      <c r="AB364" s="9"/>
      <c r="AC364" s="9">
        <f t="shared" si="12"/>
        <v>2726297</v>
      </c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</row>
    <row r="365" spans="1:63" s="3" customFormat="1" ht="12">
      <c r="A365" s="8" t="s">
        <v>309</v>
      </c>
      <c r="B365" s="8"/>
      <c r="C365" s="8" t="s">
        <v>58</v>
      </c>
      <c r="D365" s="8"/>
      <c r="E365" s="9">
        <v>3474514</v>
      </c>
      <c r="F365" s="9"/>
      <c r="G365" s="9">
        <v>1208093</v>
      </c>
      <c r="H365" s="9"/>
      <c r="I365" s="9">
        <v>695784</v>
      </c>
      <c r="J365" s="9"/>
      <c r="K365" s="9">
        <v>1085566</v>
      </c>
      <c r="L365" s="9"/>
      <c r="M365" s="9">
        <v>189971</v>
      </c>
      <c r="N365" s="9"/>
      <c r="O365" s="9">
        <v>7586</v>
      </c>
      <c r="P365" s="9"/>
      <c r="Q365" s="9">
        <v>151193</v>
      </c>
      <c r="R365" s="9"/>
      <c r="S365" s="9">
        <v>0</v>
      </c>
      <c r="T365" s="9"/>
      <c r="U365" s="9">
        <v>0</v>
      </c>
      <c r="V365" s="9"/>
      <c r="W365" s="9">
        <v>0</v>
      </c>
      <c r="X365" s="9"/>
      <c r="Y365" s="9">
        <v>0</v>
      </c>
      <c r="Z365" s="9"/>
      <c r="AA365" s="9">
        <v>0</v>
      </c>
      <c r="AB365" s="9"/>
      <c r="AC365" s="9">
        <f t="shared" si="12"/>
        <v>6812707</v>
      </c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</row>
    <row r="366" spans="1:62" s="3" customFormat="1" ht="12">
      <c r="A366" s="38" t="s">
        <v>536</v>
      </c>
      <c r="B366" s="38"/>
      <c r="C366" s="38" t="s">
        <v>562</v>
      </c>
      <c r="D366" s="38"/>
      <c r="E366" s="38">
        <v>255788.61</v>
      </c>
      <c r="F366" s="38"/>
      <c r="G366" s="38">
        <v>39466.47</v>
      </c>
      <c r="H366" s="38"/>
      <c r="I366" s="38">
        <v>77267.76</v>
      </c>
      <c r="J366" s="38"/>
      <c r="K366" s="38">
        <v>58689.66</v>
      </c>
      <c r="L366" s="38"/>
      <c r="M366" s="38">
        <v>9165.14</v>
      </c>
      <c r="N366" s="38"/>
      <c r="O366" s="38">
        <v>3217.65</v>
      </c>
      <c r="P366" s="38"/>
      <c r="Q366" s="38">
        <v>17172.34</v>
      </c>
      <c r="R366" s="38"/>
      <c r="S366" s="38">
        <v>0</v>
      </c>
      <c r="T366" s="38"/>
      <c r="U366" s="38">
        <v>0</v>
      </c>
      <c r="V366" s="38"/>
      <c r="W366" s="38">
        <v>0</v>
      </c>
      <c r="X366" s="38"/>
      <c r="Y366" s="38">
        <v>0</v>
      </c>
      <c r="Z366" s="38"/>
      <c r="AA366" s="38">
        <v>0</v>
      </c>
      <c r="AB366" s="38"/>
      <c r="AC366" s="3">
        <f t="shared" si="12"/>
        <v>460767.63000000006</v>
      </c>
      <c r="AD366" s="39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</row>
    <row r="367" spans="1:63" s="3" customFormat="1" ht="12">
      <c r="A367" s="8" t="s">
        <v>310</v>
      </c>
      <c r="B367" s="8"/>
      <c r="C367" s="8" t="s">
        <v>254</v>
      </c>
      <c r="D367" s="8"/>
      <c r="E367" s="9">
        <v>2507748</v>
      </c>
      <c r="F367" s="9"/>
      <c r="G367" s="9">
        <v>740378</v>
      </c>
      <c r="H367" s="9"/>
      <c r="I367" s="9">
        <v>809307</v>
      </c>
      <c r="J367" s="9"/>
      <c r="K367" s="9">
        <v>993056</v>
      </c>
      <c r="L367" s="9"/>
      <c r="M367" s="9">
        <v>204603</v>
      </c>
      <c r="N367" s="9"/>
      <c r="O367" s="9">
        <v>31429</v>
      </c>
      <c r="P367" s="9"/>
      <c r="Q367" s="9">
        <v>37581</v>
      </c>
      <c r="R367" s="9"/>
      <c r="S367" s="9">
        <v>0</v>
      </c>
      <c r="T367" s="9"/>
      <c r="U367" s="9">
        <v>0</v>
      </c>
      <c r="V367" s="9"/>
      <c r="W367" s="9">
        <v>575000</v>
      </c>
      <c r="X367" s="9"/>
      <c r="Y367" s="9">
        <v>0</v>
      </c>
      <c r="Z367" s="9"/>
      <c r="AA367" s="9">
        <v>0</v>
      </c>
      <c r="AB367" s="9"/>
      <c r="AC367" s="9">
        <f t="shared" si="12"/>
        <v>5899102</v>
      </c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</row>
    <row r="368" spans="1:63" s="3" customFormat="1" ht="12">
      <c r="A368" s="8" t="s">
        <v>311</v>
      </c>
      <c r="B368" s="8"/>
      <c r="C368" s="8" t="s">
        <v>68</v>
      </c>
      <c r="D368" s="8"/>
      <c r="E368" s="9">
        <v>177259</v>
      </c>
      <c r="F368" s="9"/>
      <c r="G368" s="9">
        <v>44904</v>
      </c>
      <c r="H368" s="9"/>
      <c r="I368" s="9">
        <v>47462</v>
      </c>
      <c r="J368" s="9"/>
      <c r="K368" s="9">
        <v>46094</v>
      </c>
      <c r="L368" s="9"/>
      <c r="M368" s="9">
        <v>7611</v>
      </c>
      <c r="N368" s="9"/>
      <c r="O368" s="9">
        <v>4662</v>
      </c>
      <c r="P368" s="9"/>
      <c r="Q368" s="9">
        <v>4981</v>
      </c>
      <c r="R368" s="9"/>
      <c r="S368" s="9">
        <v>0</v>
      </c>
      <c r="T368" s="9"/>
      <c r="U368" s="9">
        <v>0</v>
      </c>
      <c r="V368" s="9"/>
      <c r="W368" s="9">
        <v>0</v>
      </c>
      <c r="X368" s="9"/>
      <c r="Y368" s="9">
        <v>0</v>
      </c>
      <c r="Z368" s="9"/>
      <c r="AA368" s="9">
        <v>0</v>
      </c>
      <c r="AB368" s="9"/>
      <c r="AC368" s="9">
        <f t="shared" si="12"/>
        <v>332973</v>
      </c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</row>
    <row r="369" spans="1:62" s="3" customFormat="1" ht="12">
      <c r="A369" s="38" t="s">
        <v>537</v>
      </c>
      <c r="B369" s="38"/>
      <c r="C369" s="38" t="s">
        <v>600</v>
      </c>
      <c r="D369" s="38"/>
      <c r="E369" s="38">
        <v>933742.47</v>
      </c>
      <c r="F369" s="38"/>
      <c r="G369" s="38">
        <v>285705</v>
      </c>
      <c r="H369" s="38"/>
      <c r="I369" s="38">
        <v>246252.8</v>
      </c>
      <c r="J369" s="38"/>
      <c r="K369" s="38">
        <v>301596.88</v>
      </c>
      <c r="L369" s="38"/>
      <c r="M369" s="38">
        <v>36605.23</v>
      </c>
      <c r="N369" s="38"/>
      <c r="O369" s="38">
        <v>4158.15</v>
      </c>
      <c r="P369" s="38"/>
      <c r="Q369" s="38">
        <v>20247.2</v>
      </c>
      <c r="R369" s="38"/>
      <c r="S369" s="38">
        <v>0</v>
      </c>
      <c r="T369" s="38"/>
      <c r="U369" s="38">
        <v>0</v>
      </c>
      <c r="V369" s="38"/>
      <c r="W369" s="38">
        <v>0</v>
      </c>
      <c r="X369" s="38"/>
      <c r="Y369" s="38">
        <v>0</v>
      </c>
      <c r="Z369" s="38"/>
      <c r="AA369" s="38">
        <v>0</v>
      </c>
      <c r="AB369" s="38"/>
      <c r="AC369" s="3">
        <f t="shared" si="12"/>
        <v>1828307.7299999997</v>
      </c>
      <c r="AD369" s="39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</row>
    <row r="370" spans="1:62" s="3" customFormat="1" ht="12">
      <c r="A370" s="38" t="s">
        <v>313</v>
      </c>
      <c r="B370" s="38"/>
      <c r="C370" s="38" t="s">
        <v>555</v>
      </c>
      <c r="D370" s="38"/>
      <c r="E370" s="38">
        <v>171128.88</v>
      </c>
      <c r="F370" s="38"/>
      <c r="G370" s="38">
        <v>52609.86</v>
      </c>
      <c r="H370" s="38"/>
      <c r="I370" s="38">
        <v>49173.48</v>
      </c>
      <c r="J370" s="38"/>
      <c r="K370" s="38">
        <v>88390.01</v>
      </c>
      <c r="L370" s="38"/>
      <c r="M370" s="38">
        <v>6195.62</v>
      </c>
      <c r="N370" s="38"/>
      <c r="O370" s="38">
        <v>11346</v>
      </c>
      <c r="P370" s="38"/>
      <c r="Q370" s="38">
        <v>2769.83</v>
      </c>
      <c r="R370" s="38"/>
      <c r="S370" s="38">
        <v>0</v>
      </c>
      <c r="T370" s="38"/>
      <c r="U370" s="38">
        <v>0</v>
      </c>
      <c r="V370" s="38"/>
      <c r="W370" s="38">
        <v>0</v>
      </c>
      <c r="X370" s="38"/>
      <c r="Y370" s="38">
        <v>0</v>
      </c>
      <c r="Z370" s="38"/>
      <c r="AA370" s="38">
        <v>0</v>
      </c>
      <c r="AB370" s="38"/>
      <c r="AC370" s="3">
        <f t="shared" si="12"/>
        <v>381613.68</v>
      </c>
      <c r="AD370" s="39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</row>
    <row r="371" spans="1:62" s="3" customFormat="1" ht="12">
      <c r="A371" s="38" t="s">
        <v>314</v>
      </c>
      <c r="B371" s="38"/>
      <c r="C371" s="38" t="s">
        <v>600</v>
      </c>
      <c r="D371" s="38"/>
      <c r="E371" s="38">
        <v>220825.88</v>
      </c>
      <c r="F371" s="38"/>
      <c r="G371" s="38">
        <v>76875.64</v>
      </c>
      <c r="H371" s="38"/>
      <c r="I371" s="38">
        <v>72801.02</v>
      </c>
      <c r="J371" s="38"/>
      <c r="K371" s="38">
        <v>97800.51</v>
      </c>
      <c r="L371" s="38"/>
      <c r="M371" s="38">
        <v>15102.92</v>
      </c>
      <c r="N371" s="38"/>
      <c r="O371" s="38">
        <v>3205.03</v>
      </c>
      <c r="P371" s="38"/>
      <c r="Q371" s="38">
        <v>4708.59</v>
      </c>
      <c r="R371" s="38"/>
      <c r="S371" s="38">
        <v>0</v>
      </c>
      <c r="T371" s="38"/>
      <c r="U371" s="38">
        <v>0</v>
      </c>
      <c r="V371" s="38"/>
      <c r="W371" s="38">
        <v>0</v>
      </c>
      <c r="X371" s="38"/>
      <c r="Y371" s="38">
        <v>0</v>
      </c>
      <c r="Z371" s="38"/>
      <c r="AA371" s="38">
        <v>0</v>
      </c>
      <c r="AB371" s="38"/>
      <c r="AC371" s="3">
        <f t="shared" si="12"/>
        <v>491319.5900000001</v>
      </c>
      <c r="AD371" s="39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</row>
    <row r="372" spans="1:62" s="3" customFormat="1" ht="12">
      <c r="A372" s="38" t="s">
        <v>538</v>
      </c>
      <c r="B372" s="38"/>
      <c r="C372" s="38" t="s">
        <v>572</v>
      </c>
      <c r="D372" s="38"/>
      <c r="E372" s="38">
        <v>599567.13</v>
      </c>
      <c r="F372" s="38"/>
      <c r="G372" s="38">
        <v>237918.83</v>
      </c>
      <c r="H372" s="38"/>
      <c r="I372" s="38">
        <v>101752.17</v>
      </c>
      <c r="J372" s="38"/>
      <c r="K372" s="38">
        <v>238002.59</v>
      </c>
      <c r="L372" s="38"/>
      <c r="M372" s="38">
        <v>18299.56</v>
      </c>
      <c r="N372" s="38"/>
      <c r="O372" s="38">
        <v>13394.81</v>
      </c>
      <c r="P372" s="38"/>
      <c r="Q372" s="38">
        <v>0</v>
      </c>
      <c r="R372" s="38"/>
      <c r="S372" s="38">
        <v>0</v>
      </c>
      <c r="T372" s="38"/>
      <c r="U372" s="38">
        <v>0</v>
      </c>
      <c r="V372" s="38"/>
      <c r="W372" s="38">
        <v>550000</v>
      </c>
      <c r="X372" s="38"/>
      <c r="Y372" s="38">
        <v>0</v>
      </c>
      <c r="Z372" s="38"/>
      <c r="AA372" s="38">
        <v>0</v>
      </c>
      <c r="AB372" s="38"/>
      <c r="AC372" s="3">
        <f t="shared" si="12"/>
        <v>1758935.09</v>
      </c>
      <c r="AD372" s="39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</row>
    <row r="373" spans="1:63" s="3" customFormat="1" ht="12">
      <c r="A373" s="8" t="s">
        <v>315</v>
      </c>
      <c r="B373" s="8"/>
      <c r="C373" s="8" t="s">
        <v>95</v>
      </c>
      <c r="D373" s="8"/>
      <c r="E373" s="9">
        <v>565659</v>
      </c>
      <c r="F373" s="9"/>
      <c r="G373" s="9">
        <v>126887</v>
      </c>
      <c r="H373" s="9"/>
      <c r="I373" s="9">
        <v>94751</v>
      </c>
      <c r="J373" s="9"/>
      <c r="K373" s="9">
        <v>81077</v>
      </c>
      <c r="L373" s="9"/>
      <c r="M373" s="9">
        <v>22136</v>
      </c>
      <c r="N373" s="9"/>
      <c r="O373" s="9">
        <v>33203</v>
      </c>
      <c r="P373" s="9"/>
      <c r="Q373" s="9">
        <v>3829</v>
      </c>
      <c r="R373" s="9"/>
      <c r="S373" s="9">
        <v>0</v>
      </c>
      <c r="T373" s="9"/>
      <c r="U373" s="9">
        <v>0</v>
      </c>
      <c r="V373" s="9"/>
      <c r="W373" s="9">
        <v>0</v>
      </c>
      <c r="X373" s="9"/>
      <c r="Y373" s="9">
        <v>0</v>
      </c>
      <c r="Z373" s="9"/>
      <c r="AA373" s="9">
        <v>0</v>
      </c>
      <c r="AB373" s="9"/>
      <c r="AC373" s="9">
        <f t="shared" si="12"/>
        <v>927542</v>
      </c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</row>
    <row r="374" spans="1:63" s="3" customFormat="1" ht="12">
      <c r="A374" s="8" t="s">
        <v>511</v>
      </c>
      <c r="B374" s="8"/>
      <c r="C374" s="8" t="s">
        <v>266</v>
      </c>
      <c r="D374" s="8"/>
      <c r="E374" s="9">
        <v>12900</v>
      </c>
      <c r="F374" s="9"/>
      <c r="G374" s="9">
        <v>0</v>
      </c>
      <c r="H374" s="9"/>
      <c r="I374" s="9">
        <f>100+34+34+3+484</f>
        <v>655</v>
      </c>
      <c r="J374" s="9"/>
      <c r="K374" s="9">
        <v>156577</v>
      </c>
      <c r="L374" s="9"/>
      <c r="M374" s="9">
        <f>7+8+120+29+640</f>
        <v>804</v>
      </c>
      <c r="N374" s="9"/>
      <c r="O374" s="9">
        <f>25+132+80-2</f>
        <v>235</v>
      </c>
      <c r="P374" s="9"/>
      <c r="Q374" s="9">
        <f>1647+2157</f>
        <v>3804</v>
      </c>
      <c r="R374" s="9"/>
      <c r="S374" s="9">
        <v>0</v>
      </c>
      <c r="T374" s="9"/>
      <c r="U374" s="9">
        <v>0</v>
      </c>
      <c r="V374" s="9"/>
      <c r="W374" s="9">
        <v>0</v>
      </c>
      <c r="X374" s="9"/>
      <c r="Y374" s="9">
        <v>0</v>
      </c>
      <c r="Z374" s="9"/>
      <c r="AA374" s="9">
        <v>0</v>
      </c>
      <c r="AB374" s="9"/>
      <c r="AC374" s="9">
        <f t="shared" si="12"/>
        <v>174975</v>
      </c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</row>
    <row r="375" spans="1:63" s="3" customFormat="1" ht="12">
      <c r="A375" s="8" t="s">
        <v>316</v>
      </c>
      <c r="B375" s="8"/>
      <c r="C375" s="8" t="s">
        <v>230</v>
      </c>
      <c r="D375" s="8"/>
      <c r="E375" s="9">
        <v>924814</v>
      </c>
      <c r="F375" s="9"/>
      <c r="G375" s="9">
        <v>263380</v>
      </c>
      <c r="H375" s="9"/>
      <c r="I375" s="9">
        <v>221790</v>
      </c>
      <c r="J375" s="9"/>
      <c r="K375" s="9">
        <v>274960</v>
      </c>
      <c r="L375" s="9"/>
      <c r="M375" s="9">
        <v>57555</v>
      </c>
      <c r="N375" s="9"/>
      <c r="O375" s="9">
        <v>22180</v>
      </c>
      <c r="P375" s="9"/>
      <c r="Q375" s="9">
        <v>136231</v>
      </c>
      <c r="R375" s="9"/>
      <c r="S375" s="9">
        <v>0</v>
      </c>
      <c r="T375" s="9"/>
      <c r="U375" s="9">
        <v>0</v>
      </c>
      <c r="V375" s="9"/>
      <c r="W375" s="9">
        <v>0</v>
      </c>
      <c r="X375" s="9"/>
      <c r="Y375" s="9">
        <v>0</v>
      </c>
      <c r="Z375" s="9"/>
      <c r="AA375" s="9">
        <v>0</v>
      </c>
      <c r="AB375" s="9"/>
      <c r="AC375" s="9">
        <f t="shared" si="12"/>
        <v>1900910</v>
      </c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</row>
    <row r="376" spans="1:63" s="3" customFormat="1" ht="12">
      <c r="A376" s="2" t="s">
        <v>317</v>
      </c>
      <c r="B376" s="2"/>
      <c r="C376" s="2" t="s">
        <v>16</v>
      </c>
      <c r="D376" s="2"/>
      <c r="E376" s="9">
        <v>644788</v>
      </c>
      <c r="F376" s="9"/>
      <c r="G376" s="9">
        <v>0</v>
      </c>
      <c r="H376" s="9"/>
      <c r="I376" s="9">
        <f>4696883-644788</f>
        <v>4052095</v>
      </c>
      <c r="J376" s="9"/>
      <c r="K376" s="9">
        <v>0</v>
      </c>
      <c r="L376" s="9"/>
      <c r="M376" s="9">
        <v>0</v>
      </c>
      <c r="N376" s="9"/>
      <c r="O376" s="9">
        <v>0</v>
      </c>
      <c r="P376" s="9"/>
      <c r="Q376" s="9">
        <v>0</v>
      </c>
      <c r="R376" s="9"/>
      <c r="S376" s="9">
        <v>0</v>
      </c>
      <c r="T376" s="9"/>
      <c r="U376" s="9">
        <v>0</v>
      </c>
      <c r="V376" s="9"/>
      <c r="W376" s="9">
        <v>0</v>
      </c>
      <c r="X376" s="9"/>
      <c r="Y376" s="9">
        <v>0</v>
      </c>
      <c r="Z376" s="9"/>
      <c r="AA376" s="9">
        <v>0</v>
      </c>
      <c r="AC376" s="3">
        <f t="shared" si="12"/>
        <v>4696883</v>
      </c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</row>
    <row r="377" spans="1:62" s="3" customFormat="1" ht="12">
      <c r="A377" s="38" t="s">
        <v>318</v>
      </c>
      <c r="B377" s="38"/>
      <c r="C377" s="38" t="s">
        <v>554</v>
      </c>
      <c r="D377" s="38"/>
      <c r="E377" s="38">
        <v>401897.15</v>
      </c>
      <c r="F377" s="38"/>
      <c r="G377" s="38">
        <v>114678.4</v>
      </c>
      <c r="H377" s="38"/>
      <c r="I377" s="38">
        <v>100459.75</v>
      </c>
      <c r="J377" s="38"/>
      <c r="K377" s="38">
        <v>73931.88</v>
      </c>
      <c r="L377" s="38"/>
      <c r="M377" s="38">
        <v>35891.12</v>
      </c>
      <c r="N377" s="38"/>
      <c r="O377" s="38">
        <v>7378.46</v>
      </c>
      <c r="P377" s="38"/>
      <c r="Q377" s="38">
        <v>8152.53</v>
      </c>
      <c r="R377" s="38"/>
      <c r="S377" s="38">
        <v>0</v>
      </c>
      <c r="T377" s="38"/>
      <c r="U377" s="38">
        <v>0</v>
      </c>
      <c r="V377" s="38"/>
      <c r="W377" s="38">
        <v>0</v>
      </c>
      <c r="X377" s="38"/>
      <c r="Y377" s="38">
        <v>0</v>
      </c>
      <c r="Z377" s="38"/>
      <c r="AA377" s="38">
        <v>0</v>
      </c>
      <c r="AB377" s="38"/>
      <c r="AC377" s="3">
        <f t="shared" si="12"/>
        <v>742389.29</v>
      </c>
      <c r="AD377" s="39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</row>
    <row r="378" spans="1:63" s="3" customFormat="1" ht="12">
      <c r="A378" s="2" t="s">
        <v>319</v>
      </c>
      <c r="B378" s="2"/>
      <c r="C378" s="2" t="s">
        <v>68</v>
      </c>
      <c r="D378" s="2"/>
      <c r="E378" s="9">
        <v>949989</v>
      </c>
      <c r="F378" s="9"/>
      <c r="G378" s="9">
        <v>256575</v>
      </c>
      <c r="H378" s="9"/>
      <c r="I378" s="9">
        <v>372274</v>
      </c>
      <c r="J378" s="9"/>
      <c r="K378" s="9">
        <v>303297</v>
      </c>
      <c r="L378" s="9"/>
      <c r="M378" s="9">
        <v>47903</v>
      </c>
      <c r="N378" s="9"/>
      <c r="O378" s="9">
        <v>15796</v>
      </c>
      <c r="P378" s="9"/>
      <c r="Q378" s="9">
        <v>272762</v>
      </c>
      <c r="R378" s="9"/>
      <c r="S378" s="9">
        <v>44284</v>
      </c>
      <c r="T378" s="9"/>
      <c r="U378" s="9">
        <v>37864</v>
      </c>
      <c r="V378" s="9"/>
      <c r="W378" s="9">
        <v>0</v>
      </c>
      <c r="X378" s="9"/>
      <c r="Y378" s="9">
        <v>0</v>
      </c>
      <c r="Z378" s="9"/>
      <c r="AA378" s="9">
        <v>0</v>
      </c>
      <c r="AC378" s="3">
        <f t="shared" si="12"/>
        <v>2300744</v>
      </c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</row>
    <row r="379" spans="1:62" s="3" customFormat="1" ht="12">
      <c r="A379" s="38" t="s">
        <v>320</v>
      </c>
      <c r="B379" s="38"/>
      <c r="C379" s="38" t="s">
        <v>558</v>
      </c>
      <c r="D379" s="38"/>
      <c r="E379" s="38">
        <v>161471.88</v>
      </c>
      <c r="F379" s="38"/>
      <c r="G379" s="38">
        <v>38821.5</v>
      </c>
      <c r="H379" s="38"/>
      <c r="I379" s="38">
        <v>47584.79</v>
      </c>
      <c r="J379" s="38"/>
      <c r="K379" s="38">
        <v>64761.12</v>
      </c>
      <c r="L379" s="38"/>
      <c r="M379" s="38">
        <v>8980.97</v>
      </c>
      <c r="N379" s="38"/>
      <c r="O379" s="38">
        <v>1153</v>
      </c>
      <c r="P379" s="38"/>
      <c r="Q379" s="38">
        <v>14028.9</v>
      </c>
      <c r="R379" s="38"/>
      <c r="S379" s="38">
        <v>0</v>
      </c>
      <c r="T379" s="38"/>
      <c r="U379" s="38">
        <v>0</v>
      </c>
      <c r="V379" s="38"/>
      <c r="W379" s="38">
        <v>0</v>
      </c>
      <c r="X379" s="38"/>
      <c r="Y379" s="38">
        <v>0</v>
      </c>
      <c r="Z379" s="38"/>
      <c r="AA379" s="38">
        <v>0</v>
      </c>
      <c r="AB379" s="38"/>
      <c r="AC379" s="3">
        <f t="shared" si="12"/>
        <v>336802.16000000003</v>
      </c>
      <c r="AD379" s="39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</row>
    <row r="380" spans="1:62" s="3" customFormat="1" ht="12">
      <c r="A380" s="38" t="s">
        <v>321</v>
      </c>
      <c r="B380" s="38"/>
      <c r="C380" s="38" t="s">
        <v>559</v>
      </c>
      <c r="D380" s="38"/>
      <c r="E380" s="38">
        <v>99093.03</v>
      </c>
      <c r="F380" s="38"/>
      <c r="G380" s="38">
        <v>15020.43</v>
      </c>
      <c r="H380" s="38"/>
      <c r="I380" s="38">
        <v>21241.61</v>
      </c>
      <c r="J380" s="38"/>
      <c r="K380" s="38">
        <v>36623.34</v>
      </c>
      <c r="L380" s="38"/>
      <c r="M380" s="38">
        <v>2900.11</v>
      </c>
      <c r="N380" s="38"/>
      <c r="O380" s="38">
        <v>389</v>
      </c>
      <c r="P380" s="38"/>
      <c r="Q380" s="38">
        <v>1841.87</v>
      </c>
      <c r="R380" s="38"/>
      <c r="S380" s="38">
        <v>0</v>
      </c>
      <c r="T380" s="38"/>
      <c r="U380" s="38">
        <v>0</v>
      </c>
      <c r="V380" s="38"/>
      <c r="W380" s="38">
        <v>0</v>
      </c>
      <c r="X380" s="38"/>
      <c r="Y380" s="38">
        <v>0</v>
      </c>
      <c r="Z380" s="38"/>
      <c r="AA380" s="38">
        <v>0</v>
      </c>
      <c r="AB380" s="38"/>
      <c r="AC380" s="3">
        <f t="shared" si="12"/>
        <v>177109.38999999998</v>
      </c>
      <c r="AD380" s="39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</row>
    <row r="381" spans="1:63" s="3" customFormat="1" ht="12">
      <c r="A381" s="2" t="s">
        <v>322</v>
      </c>
      <c r="B381" s="2"/>
      <c r="C381" s="2" t="s">
        <v>98</v>
      </c>
      <c r="D381" s="2"/>
      <c r="E381" s="9">
        <v>1324176</v>
      </c>
      <c r="F381" s="9"/>
      <c r="G381" s="9">
        <v>0</v>
      </c>
      <c r="H381" s="9"/>
      <c r="I381" s="9">
        <f>7075734-1324176-8861</f>
        <v>5742697</v>
      </c>
      <c r="J381" s="9"/>
      <c r="K381" s="9">
        <v>0</v>
      </c>
      <c r="L381" s="9"/>
      <c r="M381" s="9">
        <v>0</v>
      </c>
      <c r="N381" s="9"/>
      <c r="O381" s="9">
        <v>0</v>
      </c>
      <c r="P381" s="9"/>
      <c r="Q381" s="9">
        <v>8861</v>
      </c>
      <c r="R381" s="9"/>
      <c r="S381" s="9">
        <v>0</v>
      </c>
      <c r="T381" s="9"/>
      <c r="U381" s="9">
        <v>0</v>
      </c>
      <c r="V381" s="9"/>
      <c r="W381" s="9">
        <v>3856220</v>
      </c>
      <c r="X381" s="9"/>
      <c r="Y381" s="9">
        <v>0</v>
      </c>
      <c r="Z381" s="9"/>
      <c r="AA381" s="9">
        <v>0</v>
      </c>
      <c r="AC381" s="3">
        <f t="shared" si="12"/>
        <v>10931954</v>
      </c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</row>
    <row r="382" spans="1:62" s="3" customFormat="1" ht="12">
      <c r="A382" s="38" t="s">
        <v>539</v>
      </c>
      <c r="B382" s="38"/>
      <c r="C382" s="38" t="s">
        <v>583</v>
      </c>
      <c r="D382" s="38"/>
      <c r="E382" s="38">
        <v>885289.06</v>
      </c>
      <c r="F382" s="38"/>
      <c r="G382" s="38">
        <v>200099.94</v>
      </c>
      <c r="H382" s="38"/>
      <c r="I382" s="38">
        <v>178036.12</v>
      </c>
      <c r="J382" s="38"/>
      <c r="K382" s="38">
        <v>279532.34</v>
      </c>
      <c r="L382" s="38"/>
      <c r="M382" s="38">
        <v>34332.22</v>
      </c>
      <c r="N382" s="38"/>
      <c r="O382" s="38">
        <v>55361.65</v>
      </c>
      <c r="P382" s="38"/>
      <c r="Q382" s="38">
        <v>39351.29</v>
      </c>
      <c r="R382" s="38"/>
      <c r="S382" s="38">
        <v>0</v>
      </c>
      <c r="T382" s="38"/>
      <c r="U382" s="38">
        <v>0</v>
      </c>
      <c r="V382" s="38"/>
      <c r="W382" s="38">
        <v>0</v>
      </c>
      <c r="X382" s="38"/>
      <c r="Y382" s="38">
        <v>0</v>
      </c>
      <c r="Z382" s="38"/>
      <c r="AA382" s="38">
        <v>0</v>
      </c>
      <c r="AB382" s="38"/>
      <c r="AC382" s="3">
        <f t="shared" si="12"/>
        <v>1672002.62</v>
      </c>
      <c r="AD382" s="39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</row>
    <row r="383" spans="1:63" s="3" customFormat="1" ht="12">
      <c r="A383" s="8"/>
      <c r="B383" s="8"/>
      <c r="C383" s="8"/>
      <c r="D383" s="8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21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</row>
    <row r="384" spans="1:63" s="3" customFormat="1" ht="12">
      <c r="A384" s="8"/>
      <c r="B384" s="8"/>
      <c r="C384" s="8"/>
      <c r="D384" s="8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21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</row>
    <row r="385" spans="1:62" ht="12">
      <c r="A385" s="34"/>
      <c r="B385" s="34"/>
      <c r="C385" s="34" t="s">
        <v>605</v>
      </c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5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</row>
  </sheetData>
  <sheetProtection/>
  <printOptions/>
  <pageMargins left="0.75" right="0.75" top="0.5" bottom="0.5" header="0" footer="0.3"/>
  <pageSetup firstPageNumber="16" useFirstPageNumber="1" fitToHeight="0" fitToWidth="0" horizontalDpi="300" verticalDpi="300" orientation="portrait" pageOrder="overThenDown" scale="77" r:id="rId1"/>
  <headerFooter scaleWithDoc="0" alignWithMargins="0">
    <oddFooter>&amp;C&amp;"Times New Roman,Regular"&amp;11&amp;P</oddFooter>
  </headerFooter>
  <rowBreaks count="3" manualBreakCount="3">
    <brk id="149" max="28" man="1"/>
    <brk id="269" max="28" man="1"/>
    <brk id="340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K462"/>
  <sheetViews>
    <sheetView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30.7109375" style="2" customWidth="1"/>
    <col min="2" max="2" width="1.7109375" style="2" customWidth="1"/>
    <col min="3" max="3" width="10.7109375" style="2" customWidth="1"/>
    <col min="4" max="4" width="1.7109375" style="2" customWidth="1"/>
    <col min="5" max="5" width="11.7109375" style="2" customWidth="1"/>
    <col min="6" max="6" width="1.7109375" style="2" customWidth="1"/>
    <col min="7" max="7" width="11.7109375" style="2" customWidth="1"/>
    <col min="8" max="8" width="1.7109375" style="2" customWidth="1"/>
    <col min="9" max="9" width="13.7109375" style="2" customWidth="1"/>
    <col min="10" max="10" width="1.7109375" style="2" customWidth="1"/>
    <col min="11" max="11" width="11.7109375" style="2" customWidth="1"/>
    <col min="12" max="12" width="1.7109375" style="2" customWidth="1"/>
    <col min="13" max="13" width="11.7109375" style="2" customWidth="1"/>
    <col min="14" max="14" width="1.7109375" style="2" customWidth="1"/>
    <col min="15" max="15" width="11.7109375" style="2" customWidth="1"/>
    <col min="16" max="16" width="1.7109375" style="2" customWidth="1"/>
    <col min="17" max="17" width="11.7109375" style="2" customWidth="1"/>
    <col min="18" max="18" width="1.7109375" style="2" customWidth="1"/>
    <col min="19" max="19" width="11.7109375" style="2" customWidth="1"/>
    <col min="20" max="20" width="1.7109375" style="2" customWidth="1"/>
    <col min="21" max="21" width="11.7109375" style="2" customWidth="1"/>
    <col min="22" max="22" width="1.7109375" style="2" customWidth="1"/>
    <col min="23" max="23" width="11.7109375" style="2" customWidth="1"/>
    <col min="24" max="24" width="1.7109375" style="2" customWidth="1"/>
    <col min="25" max="25" width="11.7109375" style="2" customWidth="1"/>
    <col min="26" max="26" width="1.7109375" style="2" customWidth="1"/>
    <col min="27" max="27" width="11.7109375" style="2" customWidth="1"/>
    <col min="28" max="28" width="1.7109375" style="2" customWidth="1"/>
    <col min="29" max="29" width="13.7109375" style="2" customWidth="1"/>
    <col min="30" max="16384" width="9.140625" style="2" customWidth="1"/>
  </cols>
  <sheetData>
    <row r="1" ht="12">
      <c r="A1" s="2" t="s">
        <v>627</v>
      </c>
    </row>
    <row r="2" ht="12">
      <c r="A2" s="2" t="s">
        <v>490</v>
      </c>
    </row>
    <row r="3" ht="12">
      <c r="A3" s="29" t="s">
        <v>8</v>
      </c>
    </row>
    <row r="5" s="7" customFormat="1" ht="12">
      <c r="G5" s="7" t="s">
        <v>325</v>
      </c>
    </row>
    <row r="6" spans="5:27" s="7" customFormat="1" ht="12">
      <c r="E6" s="7" t="s">
        <v>32</v>
      </c>
      <c r="G6" s="7" t="s">
        <v>326</v>
      </c>
      <c r="M6" s="7" t="s">
        <v>30</v>
      </c>
      <c r="O6" s="7" t="s">
        <v>333</v>
      </c>
      <c r="U6" s="7" t="s">
        <v>338</v>
      </c>
      <c r="AA6" s="7" t="s">
        <v>0</v>
      </c>
    </row>
    <row r="7" spans="5:27" s="7" customFormat="1" ht="12" customHeight="1">
      <c r="E7" s="7" t="s">
        <v>0</v>
      </c>
      <c r="G7" s="7" t="s">
        <v>327</v>
      </c>
      <c r="K7" s="7" t="s">
        <v>329</v>
      </c>
      <c r="M7" s="7" t="s">
        <v>331</v>
      </c>
      <c r="O7" s="7" t="s">
        <v>334</v>
      </c>
      <c r="Q7" s="7" t="s">
        <v>336</v>
      </c>
      <c r="U7" s="7" t="s">
        <v>339</v>
      </c>
      <c r="AA7" s="7" t="s">
        <v>340</v>
      </c>
    </row>
    <row r="8" spans="1:29" s="7" customFormat="1" ht="12" customHeight="1">
      <c r="A8" s="1"/>
      <c r="B8" s="5"/>
      <c r="C8" s="1" t="s">
        <v>7</v>
      </c>
      <c r="D8" s="5"/>
      <c r="E8" s="1" t="s">
        <v>324</v>
      </c>
      <c r="F8" s="5"/>
      <c r="G8" s="1" t="s">
        <v>328</v>
      </c>
      <c r="H8" s="5"/>
      <c r="I8" s="1" t="s">
        <v>2</v>
      </c>
      <c r="J8" s="5"/>
      <c r="K8" s="1" t="s">
        <v>330</v>
      </c>
      <c r="L8" s="5"/>
      <c r="M8" s="1" t="s">
        <v>332</v>
      </c>
      <c r="N8" s="5"/>
      <c r="O8" s="1" t="s">
        <v>335</v>
      </c>
      <c r="P8" s="5"/>
      <c r="Q8" s="1" t="s">
        <v>337</v>
      </c>
      <c r="R8" s="5"/>
      <c r="S8" s="1" t="s">
        <v>1</v>
      </c>
      <c r="T8" s="5"/>
      <c r="U8" s="1" t="s">
        <v>33</v>
      </c>
      <c r="V8" s="5"/>
      <c r="W8" s="1" t="s">
        <v>609</v>
      </c>
      <c r="X8" s="5"/>
      <c r="Y8" s="1" t="s">
        <v>610</v>
      </c>
      <c r="Z8" s="5"/>
      <c r="AA8" s="1" t="s">
        <v>341</v>
      </c>
      <c r="AB8" s="5"/>
      <c r="AC8" s="6" t="s">
        <v>29</v>
      </c>
    </row>
    <row r="9" spans="1:29" s="4" customFormat="1" ht="12" hidden="1">
      <c r="A9" s="4" t="s">
        <v>76</v>
      </c>
      <c r="C9" s="4" t="s">
        <v>64</v>
      </c>
      <c r="E9" s="4">
        <v>0</v>
      </c>
      <c r="G9" s="4">
        <v>0</v>
      </c>
      <c r="I9" s="4">
        <v>0</v>
      </c>
      <c r="K9" s="4">
        <v>0</v>
      </c>
      <c r="M9" s="4">
        <v>0</v>
      </c>
      <c r="O9" s="4">
        <v>0</v>
      </c>
      <c r="Q9" s="4">
        <v>0</v>
      </c>
      <c r="S9" s="4">
        <v>0</v>
      </c>
      <c r="U9" s="4">
        <v>0</v>
      </c>
      <c r="W9" s="4">
        <v>0</v>
      </c>
      <c r="Y9" s="4">
        <v>0</v>
      </c>
      <c r="AA9" s="4">
        <v>0</v>
      </c>
      <c r="AC9" s="4">
        <f aca="true" t="shared" si="0" ref="AC9:AC40">SUM(E9:AA9)</f>
        <v>0</v>
      </c>
    </row>
    <row r="10" spans="1:29" s="9" customFormat="1" ht="12" hidden="1">
      <c r="A10" s="9" t="s">
        <v>77</v>
      </c>
      <c r="C10" s="9" t="s">
        <v>43</v>
      </c>
      <c r="D10" s="29"/>
      <c r="E10" s="9">
        <v>0</v>
      </c>
      <c r="G10" s="9">
        <v>0</v>
      </c>
      <c r="I10" s="9">
        <v>0</v>
      </c>
      <c r="K10" s="9">
        <v>0</v>
      </c>
      <c r="M10" s="9">
        <v>0</v>
      </c>
      <c r="O10" s="9">
        <v>0</v>
      </c>
      <c r="Q10" s="9">
        <v>0</v>
      </c>
      <c r="S10" s="9">
        <v>0</v>
      </c>
      <c r="U10" s="9">
        <v>0</v>
      </c>
      <c r="W10" s="9">
        <v>0</v>
      </c>
      <c r="Y10" s="9">
        <v>0</v>
      </c>
      <c r="AA10" s="9">
        <v>0</v>
      </c>
      <c r="AC10" s="9">
        <f t="shared" si="0"/>
        <v>0</v>
      </c>
    </row>
    <row r="11" spans="1:63" s="20" customFormat="1" ht="12">
      <c r="A11" s="4" t="s">
        <v>76</v>
      </c>
      <c r="B11" s="4"/>
      <c r="C11" s="4" t="s">
        <v>64</v>
      </c>
      <c r="D11" s="4"/>
      <c r="E11" s="4">
        <v>0</v>
      </c>
      <c r="F11" s="4"/>
      <c r="G11" s="4">
        <v>292626.81</v>
      </c>
      <c r="H11" s="4"/>
      <c r="I11" s="4">
        <v>0</v>
      </c>
      <c r="J11" s="4"/>
      <c r="K11" s="4">
        <v>5873.11</v>
      </c>
      <c r="L11" s="4"/>
      <c r="M11" s="4">
        <v>0</v>
      </c>
      <c r="N11" s="4"/>
      <c r="O11" s="4">
        <v>10932.3</v>
      </c>
      <c r="P11" s="4"/>
      <c r="Q11" s="4">
        <v>80122.51</v>
      </c>
      <c r="R11" s="4"/>
      <c r="S11" s="4">
        <v>6</v>
      </c>
      <c r="T11" s="4"/>
      <c r="U11" s="4">
        <v>75</v>
      </c>
      <c r="V11" s="4"/>
      <c r="W11" s="4">
        <v>30000</v>
      </c>
      <c r="X11" s="4"/>
      <c r="Y11" s="4">
        <v>0</v>
      </c>
      <c r="Z11" s="4"/>
      <c r="AA11" s="4">
        <v>0</v>
      </c>
      <c r="AB11" s="4"/>
      <c r="AC11" s="4">
        <f t="shared" si="0"/>
        <v>419635.73</v>
      </c>
      <c r="AD11" s="4"/>
      <c r="AE11" s="37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</row>
    <row r="12" spans="1:29" s="9" customFormat="1" ht="12" hidden="1">
      <c r="A12" s="9" t="s">
        <v>34</v>
      </c>
      <c r="C12" s="9" t="s">
        <v>44</v>
      </c>
      <c r="E12" s="9">
        <v>0</v>
      </c>
      <c r="G12" s="9">
        <v>0</v>
      </c>
      <c r="I12" s="9">
        <v>0</v>
      </c>
      <c r="K12" s="9">
        <v>0</v>
      </c>
      <c r="M12" s="9">
        <v>0</v>
      </c>
      <c r="O12" s="9">
        <v>0</v>
      </c>
      <c r="Q12" s="9">
        <v>0</v>
      </c>
      <c r="S12" s="9">
        <v>0</v>
      </c>
      <c r="U12" s="9">
        <v>0</v>
      </c>
      <c r="W12" s="9">
        <v>0</v>
      </c>
      <c r="Y12" s="9">
        <v>0</v>
      </c>
      <c r="AA12" s="9">
        <v>0</v>
      </c>
      <c r="AC12" s="9">
        <f t="shared" si="0"/>
        <v>0</v>
      </c>
    </row>
    <row r="13" spans="1:29" s="9" customFormat="1" ht="12" hidden="1">
      <c r="A13" s="9" t="s">
        <v>78</v>
      </c>
      <c r="C13" s="9" t="s">
        <v>64</v>
      </c>
      <c r="E13" s="9">
        <v>0</v>
      </c>
      <c r="G13" s="9">
        <v>0</v>
      </c>
      <c r="I13" s="9">
        <v>0</v>
      </c>
      <c r="K13" s="9">
        <v>0</v>
      </c>
      <c r="M13" s="9">
        <v>0</v>
      </c>
      <c r="O13" s="9">
        <v>0</v>
      </c>
      <c r="Q13" s="9">
        <v>0</v>
      </c>
      <c r="S13" s="9">
        <v>0</v>
      </c>
      <c r="U13" s="9">
        <v>0</v>
      </c>
      <c r="W13" s="9">
        <v>0</v>
      </c>
      <c r="Y13" s="9">
        <v>0</v>
      </c>
      <c r="AA13" s="9">
        <v>0</v>
      </c>
      <c r="AC13" s="9">
        <f t="shared" si="0"/>
        <v>0</v>
      </c>
    </row>
    <row r="14" spans="1:29" s="9" customFormat="1" ht="12" hidden="1">
      <c r="A14" s="9" t="s">
        <v>79</v>
      </c>
      <c r="C14" s="9" t="s">
        <v>60</v>
      </c>
      <c r="E14" s="9">
        <v>0</v>
      </c>
      <c r="G14" s="9">
        <v>0</v>
      </c>
      <c r="I14" s="9">
        <v>0</v>
      </c>
      <c r="K14" s="9">
        <v>0</v>
      </c>
      <c r="M14" s="9">
        <v>0</v>
      </c>
      <c r="O14" s="9">
        <v>0</v>
      </c>
      <c r="Q14" s="9">
        <v>0</v>
      </c>
      <c r="S14" s="9">
        <v>0</v>
      </c>
      <c r="U14" s="9">
        <v>0</v>
      </c>
      <c r="W14" s="9">
        <v>0</v>
      </c>
      <c r="Y14" s="9">
        <v>0</v>
      </c>
      <c r="AA14" s="9">
        <v>0</v>
      </c>
      <c r="AC14" s="9">
        <f t="shared" si="0"/>
        <v>0</v>
      </c>
    </row>
    <row r="15" spans="1:63" s="9" customFormat="1" ht="12">
      <c r="A15" s="3" t="s">
        <v>77</v>
      </c>
      <c r="B15" s="3"/>
      <c r="C15" s="3" t="s">
        <v>43</v>
      </c>
      <c r="D15" s="3"/>
      <c r="E15" s="3">
        <v>0</v>
      </c>
      <c r="F15" s="3"/>
      <c r="G15" s="3">
        <v>997464.5</v>
      </c>
      <c r="H15" s="3"/>
      <c r="I15" s="3">
        <v>0</v>
      </c>
      <c r="J15" s="3"/>
      <c r="K15" s="3">
        <v>34179.34</v>
      </c>
      <c r="L15" s="3"/>
      <c r="M15" s="3">
        <v>0</v>
      </c>
      <c r="N15" s="3"/>
      <c r="O15" s="3">
        <v>170.32</v>
      </c>
      <c r="P15" s="3"/>
      <c r="Q15" s="3">
        <v>85673.13</v>
      </c>
      <c r="R15" s="3"/>
      <c r="S15" s="3">
        <v>237.59</v>
      </c>
      <c r="T15" s="3"/>
      <c r="U15" s="3">
        <v>0</v>
      </c>
      <c r="V15" s="3"/>
      <c r="W15" s="3">
        <v>20000</v>
      </c>
      <c r="X15" s="3"/>
      <c r="Y15" s="3">
        <v>0</v>
      </c>
      <c r="Z15" s="3"/>
      <c r="AA15" s="3">
        <v>0</v>
      </c>
      <c r="AB15" s="3"/>
      <c r="AC15" s="3">
        <f t="shared" si="0"/>
        <v>1137724.8800000001</v>
      </c>
      <c r="AD15" s="3"/>
      <c r="AE15" s="39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</row>
    <row r="16" spans="1:29" s="9" customFormat="1" ht="12">
      <c r="A16" s="16" t="s">
        <v>491</v>
      </c>
      <c r="B16" s="16"/>
      <c r="C16" s="16" t="s">
        <v>23</v>
      </c>
      <c r="D16" s="29"/>
      <c r="E16" s="9">
        <v>15183581</v>
      </c>
      <c r="G16" s="9">
        <f>15983607-1546948</f>
        <v>14436659</v>
      </c>
      <c r="I16" s="9">
        <f>15983607-14436659</f>
        <v>1546948</v>
      </c>
      <c r="K16" s="9">
        <v>619246</v>
      </c>
      <c r="M16" s="9">
        <v>0</v>
      </c>
      <c r="O16" s="9">
        <v>71287</v>
      </c>
      <c r="Q16" s="9">
        <v>649245</v>
      </c>
      <c r="S16" s="9">
        <v>622806</v>
      </c>
      <c r="U16" s="9">
        <v>0</v>
      </c>
      <c r="W16" s="9">
        <v>638000</v>
      </c>
      <c r="Y16" s="9">
        <v>0</v>
      </c>
      <c r="AA16" s="9">
        <v>646869</v>
      </c>
      <c r="AC16" s="9">
        <f t="shared" si="0"/>
        <v>34414641</v>
      </c>
    </row>
    <row r="17" spans="1:29" s="9" customFormat="1" ht="12" hidden="1">
      <c r="A17" s="9" t="s">
        <v>83</v>
      </c>
      <c r="C17" s="9" t="s">
        <v>84</v>
      </c>
      <c r="E17" s="9">
        <v>0</v>
      </c>
      <c r="G17" s="9">
        <v>0</v>
      </c>
      <c r="I17" s="9">
        <v>0</v>
      </c>
      <c r="K17" s="9">
        <v>0</v>
      </c>
      <c r="M17" s="9">
        <v>0</v>
      </c>
      <c r="O17" s="9">
        <v>0</v>
      </c>
      <c r="Q17" s="9">
        <v>0</v>
      </c>
      <c r="S17" s="9">
        <v>0</v>
      </c>
      <c r="U17" s="9">
        <v>0</v>
      </c>
      <c r="W17" s="9">
        <v>0</v>
      </c>
      <c r="Y17" s="9">
        <v>0</v>
      </c>
      <c r="AA17" s="9">
        <v>0</v>
      </c>
      <c r="AC17" s="9">
        <f t="shared" si="0"/>
        <v>0</v>
      </c>
    </row>
    <row r="18" spans="1:29" s="9" customFormat="1" ht="12" hidden="1">
      <c r="A18" s="9" t="s">
        <v>85</v>
      </c>
      <c r="C18" s="9" t="s">
        <v>45</v>
      </c>
      <c r="E18" s="9">
        <v>0</v>
      </c>
      <c r="G18" s="9">
        <v>0</v>
      </c>
      <c r="I18" s="9">
        <v>0</v>
      </c>
      <c r="K18" s="9">
        <v>0</v>
      </c>
      <c r="M18" s="9">
        <v>0</v>
      </c>
      <c r="O18" s="9">
        <v>0</v>
      </c>
      <c r="Q18" s="9">
        <v>0</v>
      </c>
      <c r="S18" s="9">
        <v>0</v>
      </c>
      <c r="U18" s="9">
        <v>0</v>
      </c>
      <c r="W18" s="9">
        <v>0</v>
      </c>
      <c r="Y18" s="9">
        <v>0</v>
      </c>
      <c r="AA18" s="9">
        <v>0</v>
      </c>
      <c r="AC18" s="9">
        <f t="shared" si="0"/>
        <v>0</v>
      </c>
    </row>
    <row r="19" spans="1:63" s="9" customFormat="1" ht="12">
      <c r="A19" s="3" t="s">
        <v>611</v>
      </c>
      <c r="B19" s="3"/>
      <c r="C19" s="3" t="s">
        <v>44</v>
      </c>
      <c r="D19" s="3"/>
      <c r="E19" s="3">
        <v>0</v>
      </c>
      <c r="F19" s="3"/>
      <c r="G19" s="3">
        <v>313806.35</v>
      </c>
      <c r="H19" s="3"/>
      <c r="I19" s="3">
        <v>0</v>
      </c>
      <c r="J19" s="3"/>
      <c r="K19" s="3">
        <v>7090.25</v>
      </c>
      <c r="L19" s="3"/>
      <c r="M19" s="3">
        <v>0</v>
      </c>
      <c r="N19" s="3"/>
      <c r="O19" s="3">
        <v>105</v>
      </c>
      <c r="P19" s="3"/>
      <c r="Q19" s="3">
        <v>29111.84</v>
      </c>
      <c r="R19" s="3"/>
      <c r="S19" s="3">
        <v>4518</v>
      </c>
      <c r="T19" s="3"/>
      <c r="U19" s="3">
        <v>681.99</v>
      </c>
      <c r="V19" s="3"/>
      <c r="W19" s="3">
        <v>50000</v>
      </c>
      <c r="X19" s="3"/>
      <c r="Y19" s="3">
        <v>0</v>
      </c>
      <c r="Z19" s="3"/>
      <c r="AA19" s="3">
        <v>0</v>
      </c>
      <c r="AB19" s="3"/>
      <c r="AC19" s="3">
        <f t="shared" si="0"/>
        <v>405313.43</v>
      </c>
      <c r="AD19" s="3"/>
      <c r="AE19" s="39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</row>
    <row r="20" spans="1:29" s="9" customFormat="1" ht="12" hidden="1">
      <c r="A20" s="9" t="s">
        <v>88</v>
      </c>
      <c r="C20" s="9" t="s">
        <v>46</v>
      </c>
      <c r="E20" s="9">
        <v>0</v>
      </c>
      <c r="G20" s="9">
        <v>0</v>
      </c>
      <c r="I20" s="9">
        <v>0</v>
      </c>
      <c r="K20" s="9">
        <v>0</v>
      </c>
      <c r="M20" s="9">
        <v>0</v>
      </c>
      <c r="O20" s="9">
        <v>0</v>
      </c>
      <c r="Q20" s="9">
        <v>0</v>
      </c>
      <c r="S20" s="9">
        <v>0</v>
      </c>
      <c r="U20" s="9">
        <v>0</v>
      </c>
      <c r="W20" s="9">
        <v>0</v>
      </c>
      <c r="Y20" s="9">
        <v>0</v>
      </c>
      <c r="AA20" s="9">
        <v>0</v>
      </c>
      <c r="AC20" s="9">
        <f t="shared" si="0"/>
        <v>0</v>
      </c>
    </row>
    <row r="21" spans="1:29" s="9" customFormat="1" ht="12" hidden="1">
      <c r="A21" s="9" t="s">
        <v>89</v>
      </c>
      <c r="C21" s="9" t="s">
        <v>47</v>
      </c>
      <c r="E21" s="9">
        <v>0</v>
      </c>
      <c r="G21" s="9">
        <v>0</v>
      </c>
      <c r="I21" s="9">
        <v>0</v>
      </c>
      <c r="K21" s="9">
        <v>0</v>
      </c>
      <c r="M21" s="9">
        <v>0</v>
      </c>
      <c r="O21" s="9">
        <v>0</v>
      </c>
      <c r="Q21" s="9">
        <v>0</v>
      </c>
      <c r="S21" s="9">
        <v>0</v>
      </c>
      <c r="U21" s="9">
        <v>0</v>
      </c>
      <c r="W21" s="9">
        <v>0</v>
      </c>
      <c r="Y21" s="9">
        <v>0</v>
      </c>
      <c r="AA21" s="9">
        <v>0</v>
      </c>
      <c r="AC21" s="9">
        <f t="shared" si="0"/>
        <v>0</v>
      </c>
    </row>
    <row r="22" spans="1:63" s="9" customFormat="1" ht="12">
      <c r="A22" s="3" t="s">
        <v>78</v>
      </c>
      <c r="B22" s="3"/>
      <c r="C22" s="3" t="s">
        <v>64</v>
      </c>
      <c r="D22" s="3"/>
      <c r="E22" s="3">
        <v>0</v>
      </c>
      <c r="F22" s="3"/>
      <c r="G22" s="3">
        <v>70095.4</v>
      </c>
      <c r="H22" s="3"/>
      <c r="I22" s="3">
        <v>750</v>
      </c>
      <c r="J22" s="3"/>
      <c r="K22" s="3">
        <v>1676.05</v>
      </c>
      <c r="L22" s="3"/>
      <c r="M22" s="3">
        <v>0</v>
      </c>
      <c r="N22" s="3"/>
      <c r="O22" s="3">
        <v>1127.5</v>
      </c>
      <c r="P22" s="3"/>
      <c r="Q22" s="3">
        <v>3996.95</v>
      </c>
      <c r="R22" s="3"/>
      <c r="S22" s="3">
        <v>102.49</v>
      </c>
      <c r="T22" s="3"/>
      <c r="U22" s="3">
        <v>73</v>
      </c>
      <c r="V22" s="3"/>
      <c r="W22" s="3">
        <v>0</v>
      </c>
      <c r="X22" s="3"/>
      <c r="Y22" s="3">
        <v>0</v>
      </c>
      <c r="Z22" s="3"/>
      <c r="AA22" s="3">
        <v>0</v>
      </c>
      <c r="AB22" s="3"/>
      <c r="AC22" s="3">
        <f t="shared" si="0"/>
        <v>77821.39</v>
      </c>
      <c r="AD22" s="3"/>
      <c r="AE22" s="39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</row>
    <row r="23" spans="1:60" s="42" customFormat="1" ht="12" hidden="1">
      <c r="A23" s="9" t="s">
        <v>411</v>
      </c>
      <c r="B23" s="9"/>
      <c r="C23" s="9" t="s">
        <v>488</v>
      </c>
      <c r="D23" s="9"/>
      <c r="E23" s="9">
        <v>0</v>
      </c>
      <c r="F23" s="9"/>
      <c r="G23" s="9">
        <v>0</v>
      </c>
      <c r="H23" s="9"/>
      <c r="I23" s="9">
        <v>0</v>
      </c>
      <c r="J23" s="9"/>
      <c r="K23" s="9">
        <v>0</v>
      </c>
      <c r="L23" s="9"/>
      <c r="M23" s="9">
        <v>0</v>
      </c>
      <c r="N23" s="9"/>
      <c r="O23" s="9">
        <v>0</v>
      </c>
      <c r="P23" s="9"/>
      <c r="Q23" s="9">
        <v>0</v>
      </c>
      <c r="R23" s="9"/>
      <c r="S23" s="9">
        <v>0</v>
      </c>
      <c r="T23" s="9"/>
      <c r="U23" s="9">
        <v>0</v>
      </c>
      <c r="V23" s="9"/>
      <c r="W23" s="9">
        <v>0</v>
      </c>
      <c r="X23" s="9"/>
      <c r="Y23" s="9">
        <v>0</v>
      </c>
      <c r="Z23" s="9"/>
      <c r="AA23" s="9">
        <v>0</v>
      </c>
      <c r="AB23" s="40"/>
      <c r="AC23" s="9">
        <f t="shared" si="0"/>
        <v>0</v>
      </c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</row>
    <row r="24" spans="1:63" s="9" customFormat="1" ht="12">
      <c r="A24" s="3" t="s">
        <v>513</v>
      </c>
      <c r="B24" s="3"/>
      <c r="C24" s="3" t="s">
        <v>60</v>
      </c>
      <c r="D24" s="3"/>
      <c r="E24" s="3">
        <v>316897.78</v>
      </c>
      <c r="F24" s="3"/>
      <c r="G24" s="3">
        <v>812504.75</v>
      </c>
      <c r="H24" s="3"/>
      <c r="I24" s="3">
        <v>28151.38</v>
      </c>
      <c r="J24" s="3"/>
      <c r="K24" s="3">
        <v>29842.52</v>
      </c>
      <c r="L24" s="3"/>
      <c r="M24" s="3">
        <v>0</v>
      </c>
      <c r="N24" s="3"/>
      <c r="O24" s="3">
        <v>5377</v>
      </c>
      <c r="P24" s="3"/>
      <c r="Q24" s="3">
        <v>117834.9</v>
      </c>
      <c r="R24" s="3"/>
      <c r="S24" s="3">
        <v>2336.41</v>
      </c>
      <c r="T24" s="3"/>
      <c r="U24" s="3">
        <v>0</v>
      </c>
      <c r="V24" s="3"/>
      <c r="W24" s="3">
        <v>158490.76</v>
      </c>
      <c r="X24" s="3"/>
      <c r="Y24" s="3">
        <v>0</v>
      </c>
      <c r="Z24" s="3"/>
      <c r="AA24" s="3">
        <v>0</v>
      </c>
      <c r="AB24" s="3"/>
      <c r="AC24" s="3">
        <f t="shared" si="0"/>
        <v>1471435.4999999998</v>
      </c>
      <c r="AD24" s="3"/>
      <c r="AE24" s="39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</row>
    <row r="25" spans="1:29" s="9" customFormat="1" ht="12" hidden="1">
      <c r="A25" s="9" t="s">
        <v>91</v>
      </c>
      <c r="C25" s="9" t="s">
        <v>14</v>
      </c>
      <c r="E25" s="9">
        <v>0</v>
      </c>
      <c r="G25" s="9">
        <v>0</v>
      </c>
      <c r="I25" s="9">
        <v>0</v>
      </c>
      <c r="K25" s="9">
        <v>0</v>
      </c>
      <c r="M25" s="9">
        <v>0</v>
      </c>
      <c r="O25" s="9">
        <v>0</v>
      </c>
      <c r="Q25" s="9">
        <v>0</v>
      </c>
      <c r="S25" s="9">
        <v>0</v>
      </c>
      <c r="U25" s="9">
        <v>0</v>
      </c>
      <c r="W25" s="9">
        <v>0</v>
      </c>
      <c r="Y25" s="9">
        <v>0</v>
      </c>
      <c r="AA25" s="9">
        <v>0</v>
      </c>
      <c r="AC25" s="9">
        <f t="shared" si="0"/>
        <v>0</v>
      </c>
    </row>
    <row r="26" spans="1:29" s="9" customFormat="1" ht="12">
      <c r="A26" s="9" t="s">
        <v>80</v>
      </c>
      <c r="C26" s="9" t="s">
        <v>81</v>
      </c>
      <c r="E26" s="9">
        <v>0</v>
      </c>
      <c r="G26" s="9">
        <v>1781248</v>
      </c>
      <c r="I26" s="9">
        <v>0</v>
      </c>
      <c r="K26" s="9">
        <v>30651</v>
      </c>
      <c r="M26" s="9">
        <v>0</v>
      </c>
      <c r="O26" s="9">
        <v>273416</v>
      </c>
      <c r="Q26" s="9">
        <v>176049</v>
      </c>
      <c r="S26" s="9">
        <v>6930</v>
      </c>
      <c r="U26" s="9">
        <v>0</v>
      </c>
      <c r="W26" s="9">
        <v>0</v>
      </c>
      <c r="Y26" s="9">
        <v>0</v>
      </c>
      <c r="AA26" s="9">
        <v>2153</v>
      </c>
      <c r="AC26" s="9">
        <f t="shared" si="0"/>
        <v>2270447</v>
      </c>
    </row>
    <row r="27" spans="1:29" s="9" customFormat="1" ht="12">
      <c r="A27" s="9" t="s">
        <v>82</v>
      </c>
      <c r="C27" s="9" t="s">
        <v>46</v>
      </c>
      <c r="E27" s="9">
        <v>0</v>
      </c>
      <c r="G27" s="9">
        <v>269794</v>
      </c>
      <c r="I27" s="9">
        <v>6048</v>
      </c>
      <c r="K27" s="9">
        <v>12528</v>
      </c>
      <c r="M27" s="9">
        <v>0</v>
      </c>
      <c r="O27" s="9">
        <v>26873</v>
      </c>
      <c r="Q27" s="9">
        <v>4002</v>
      </c>
      <c r="S27" s="9">
        <v>22174</v>
      </c>
      <c r="U27" s="9">
        <v>0</v>
      </c>
      <c r="W27" s="9">
        <v>10001</v>
      </c>
      <c r="Y27" s="9">
        <v>0</v>
      </c>
      <c r="AA27" s="9">
        <v>0</v>
      </c>
      <c r="AC27" s="9">
        <f t="shared" si="0"/>
        <v>351420</v>
      </c>
    </row>
    <row r="28" spans="1:63" s="9" customFormat="1" ht="12">
      <c r="A28" s="3" t="s">
        <v>83</v>
      </c>
      <c r="B28" s="3"/>
      <c r="C28" s="3" t="s">
        <v>84</v>
      </c>
      <c r="D28" s="3"/>
      <c r="E28" s="3">
        <v>0</v>
      </c>
      <c r="F28" s="3"/>
      <c r="G28" s="3">
        <v>305454.21</v>
      </c>
      <c r="H28" s="3"/>
      <c r="I28" s="3">
        <v>0</v>
      </c>
      <c r="J28" s="3"/>
      <c r="K28" s="3">
        <v>7575.77</v>
      </c>
      <c r="L28" s="3"/>
      <c r="M28" s="3">
        <v>0</v>
      </c>
      <c r="N28" s="3"/>
      <c r="O28" s="3">
        <v>2854.62</v>
      </c>
      <c r="P28" s="3"/>
      <c r="Q28" s="3">
        <v>17195.16</v>
      </c>
      <c r="R28" s="3"/>
      <c r="S28" s="3">
        <v>159.25</v>
      </c>
      <c r="T28" s="3"/>
      <c r="U28" s="3">
        <v>0</v>
      </c>
      <c r="V28" s="3"/>
      <c r="W28" s="3">
        <v>0</v>
      </c>
      <c r="X28" s="3"/>
      <c r="Y28" s="3">
        <v>0</v>
      </c>
      <c r="Z28" s="3"/>
      <c r="AA28" s="3">
        <v>0</v>
      </c>
      <c r="AB28" s="3"/>
      <c r="AC28" s="3">
        <f t="shared" si="0"/>
        <v>333239.01</v>
      </c>
      <c r="AD28" s="3"/>
      <c r="AE28" s="39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</row>
    <row r="29" spans="1:63" s="9" customFormat="1" ht="12">
      <c r="A29" s="3" t="s">
        <v>85</v>
      </c>
      <c r="B29" s="3"/>
      <c r="C29" s="3" t="s">
        <v>45</v>
      </c>
      <c r="D29" s="3"/>
      <c r="E29" s="3">
        <v>90269.58</v>
      </c>
      <c r="F29" s="3"/>
      <c r="G29" s="3">
        <v>273581.32</v>
      </c>
      <c r="H29" s="3"/>
      <c r="I29" s="3">
        <v>21265.07</v>
      </c>
      <c r="J29" s="3"/>
      <c r="K29" s="3">
        <v>14969.94</v>
      </c>
      <c r="L29" s="3"/>
      <c r="M29" s="3">
        <v>0</v>
      </c>
      <c r="N29" s="3"/>
      <c r="O29" s="3">
        <v>1965.57</v>
      </c>
      <c r="P29" s="3"/>
      <c r="Q29" s="3">
        <v>20316.19</v>
      </c>
      <c r="R29" s="3"/>
      <c r="S29" s="3">
        <v>5949.75</v>
      </c>
      <c r="T29" s="3"/>
      <c r="U29" s="3">
        <v>0</v>
      </c>
      <c r="V29" s="3"/>
      <c r="W29" s="3">
        <v>42821.35</v>
      </c>
      <c r="X29" s="3"/>
      <c r="Y29" s="3">
        <v>0</v>
      </c>
      <c r="Z29" s="3"/>
      <c r="AA29" s="3">
        <v>0</v>
      </c>
      <c r="AB29" s="3"/>
      <c r="AC29" s="3">
        <f t="shared" si="0"/>
        <v>471138.77</v>
      </c>
      <c r="AD29" s="3"/>
      <c r="AE29" s="39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</row>
    <row r="30" spans="1:29" s="9" customFormat="1" ht="12">
      <c r="A30" s="9" t="s">
        <v>86</v>
      </c>
      <c r="C30" s="9" t="s">
        <v>87</v>
      </c>
      <c r="E30" s="9">
        <v>6999</v>
      </c>
      <c r="G30" s="9">
        <v>1255457</v>
      </c>
      <c r="I30" s="9">
        <v>0</v>
      </c>
      <c r="K30" s="9">
        <v>51427</v>
      </c>
      <c r="M30" s="9">
        <v>0</v>
      </c>
      <c r="O30" s="9">
        <v>4182</v>
      </c>
      <c r="Q30" s="9">
        <v>105710</v>
      </c>
      <c r="S30" s="9">
        <v>9668</v>
      </c>
      <c r="U30" s="9">
        <v>0</v>
      </c>
      <c r="W30" s="9">
        <v>0</v>
      </c>
      <c r="Y30" s="9">
        <v>0</v>
      </c>
      <c r="AA30" s="9">
        <v>0</v>
      </c>
      <c r="AC30" s="9">
        <f t="shared" si="0"/>
        <v>1433443</v>
      </c>
    </row>
    <row r="31" spans="1:63" s="9" customFormat="1" ht="12">
      <c r="A31" s="3" t="s">
        <v>383</v>
      </c>
      <c r="B31" s="3"/>
      <c r="C31" s="3" t="s">
        <v>46</v>
      </c>
      <c r="D31" s="3"/>
      <c r="E31" s="3">
        <v>1580453.58</v>
      </c>
      <c r="F31" s="3"/>
      <c r="G31" s="3">
        <v>0</v>
      </c>
      <c r="H31" s="3"/>
      <c r="I31" s="3">
        <v>0</v>
      </c>
      <c r="J31" s="3"/>
      <c r="K31" s="3">
        <v>39573.61</v>
      </c>
      <c r="L31" s="3"/>
      <c r="M31" s="3">
        <v>0</v>
      </c>
      <c r="N31" s="3"/>
      <c r="O31" s="3">
        <v>11455.32</v>
      </c>
      <c r="P31" s="3"/>
      <c r="Q31" s="3">
        <v>140434.98</v>
      </c>
      <c r="R31" s="3"/>
      <c r="S31" s="3">
        <v>60009.85</v>
      </c>
      <c r="T31" s="3"/>
      <c r="U31" s="3">
        <v>0</v>
      </c>
      <c r="V31" s="3"/>
      <c r="W31" s="3">
        <v>16290</v>
      </c>
      <c r="X31" s="3"/>
      <c r="Y31" s="3">
        <v>41300</v>
      </c>
      <c r="Z31" s="3"/>
      <c r="AA31" s="3">
        <v>0</v>
      </c>
      <c r="AB31" s="3"/>
      <c r="AC31" s="3">
        <f t="shared" si="0"/>
        <v>1889517.3400000003</v>
      </c>
      <c r="AD31" s="3"/>
      <c r="AE31" s="39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</row>
    <row r="32" spans="1:29" s="9" customFormat="1" ht="12" hidden="1">
      <c r="A32" s="9" t="s">
        <v>102</v>
      </c>
      <c r="C32" s="9" t="s">
        <v>48</v>
      </c>
      <c r="E32" s="9">
        <v>0</v>
      </c>
      <c r="G32" s="9">
        <v>0</v>
      </c>
      <c r="I32" s="9">
        <v>0</v>
      </c>
      <c r="K32" s="9">
        <v>0</v>
      </c>
      <c r="M32" s="9">
        <v>0</v>
      </c>
      <c r="O32" s="9">
        <v>0</v>
      </c>
      <c r="Q32" s="9">
        <v>0</v>
      </c>
      <c r="S32" s="9">
        <v>0</v>
      </c>
      <c r="U32" s="9">
        <v>0</v>
      </c>
      <c r="W32" s="9">
        <v>0</v>
      </c>
      <c r="Y32" s="9">
        <v>0</v>
      </c>
      <c r="AA32" s="9">
        <v>0</v>
      </c>
      <c r="AC32" s="9">
        <f t="shared" si="0"/>
        <v>0</v>
      </c>
    </row>
    <row r="33" spans="1:29" s="9" customFormat="1" ht="12" hidden="1">
      <c r="A33" s="9" t="s">
        <v>103</v>
      </c>
      <c r="C33" s="9" t="s">
        <v>104</v>
      </c>
      <c r="E33" s="9">
        <v>0</v>
      </c>
      <c r="G33" s="9">
        <v>0</v>
      </c>
      <c r="I33" s="9">
        <v>0</v>
      </c>
      <c r="K33" s="9">
        <v>0</v>
      </c>
      <c r="M33" s="9">
        <v>0</v>
      </c>
      <c r="O33" s="9">
        <v>0</v>
      </c>
      <c r="Q33" s="9">
        <v>0</v>
      </c>
      <c r="S33" s="9">
        <v>0</v>
      </c>
      <c r="U33" s="9">
        <v>0</v>
      </c>
      <c r="W33" s="9">
        <v>0</v>
      </c>
      <c r="Y33" s="9">
        <v>0</v>
      </c>
      <c r="AA33" s="9">
        <v>0</v>
      </c>
      <c r="AC33" s="9">
        <f t="shared" si="0"/>
        <v>0</v>
      </c>
    </row>
    <row r="34" spans="1:29" s="9" customFormat="1" ht="12" hidden="1">
      <c r="A34" s="9" t="s">
        <v>105</v>
      </c>
      <c r="C34" s="9" t="s">
        <v>49</v>
      </c>
      <c r="E34" s="9">
        <v>0</v>
      </c>
      <c r="G34" s="9">
        <v>0</v>
      </c>
      <c r="I34" s="9">
        <v>0</v>
      </c>
      <c r="K34" s="9">
        <v>0</v>
      </c>
      <c r="M34" s="9">
        <v>0</v>
      </c>
      <c r="O34" s="9">
        <v>0</v>
      </c>
      <c r="Q34" s="9">
        <v>0</v>
      </c>
      <c r="S34" s="9">
        <v>0</v>
      </c>
      <c r="U34" s="9">
        <v>0</v>
      </c>
      <c r="W34" s="9">
        <v>0</v>
      </c>
      <c r="Y34" s="9">
        <v>0</v>
      </c>
      <c r="AA34" s="9">
        <v>0</v>
      </c>
      <c r="AC34" s="9">
        <f t="shared" si="0"/>
        <v>0</v>
      </c>
    </row>
    <row r="35" spans="1:29" s="9" customFormat="1" ht="12" hidden="1">
      <c r="A35" s="9" t="s">
        <v>106</v>
      </c>
      <c r="C35" s="9" t="s">
        <v>56</v>
      </c>
      <c r="E35" s="9">
        <v>0</v>
      </c>
      <c r="G35" s="9">
        <v>0</v>
      </c>
      <c r="I35" s="9">
        <v>0</v>
      </c>
      <c r="K35" s="9">
        <v>0</v>
      </c>
      <c r="M35" s="9">
        <v>0</v>
      </c>
      <c r="O35" s="9">
        <v>0</v>
      </c>
      <c r="Q35" s="9">
        <v>0</v>
      </c>
      <c r="S35" s="9">
        <v>0</v>
      </c>
      <c r="U35" s="9">
        <v>0</v>
      </c>
      <c r="W35" s="9">
        <v>0</v>
      </c>
      <c r="Y35" s="9">
        <v>0</v>
      </c>
      <c r="AA35" s="9">
        <v>0</v>
      </c>
      <c r="AC35" s="9">
        <f t="shared" si="0"/>
        <v>0</v>
      </c>
    </row>
    <row r="36" spans="1:63" s="9" customFormat="1" ht="12">
      <c r="A36" s="3" t="s">
        <v>89</v>
      </c>
      <c r="B36" s="3"/>
      <c r="C36" s="3" t="s">
        <v>47</v>
      </c>
      <c r="D36" s="3"/>
      <c r="E36" s="3">
        <v>0</v>
      </c>
      <c r="F36" s="3"/>
      <c r="G36" s="3">
        <v>1242021.37</v>
      </c>
      <c r="H36" s="3"/>
      <c r="I36" s="3">
        <v>0</v>
      </c>
      <c r="J36" s="3"/>
      <c r="K36" s="3">
        <v>18793.85</v>
      </c>
      <c r="L36" s="3"/>
      <c r="M36" s="3">
        <v>0</v>
      </c>
      <c r="N36" s="3"/>
      <c r="O36" s="3">
        <v>19603.81</v>
      </c>
      <c r="P36" s="3"/>
      <c r="Q36" s="3">
        <v>112335.34</v>
      </c>
      <c r="R36" s="3"/>
      <c r="S36" s="3">
        <v>6411.59</v>
      </c>
      <c r="T36" s="3"/>
      <c r="U36" s="3">
        <v>0</v>
      </c>
      <c r="V36" s="3"/>
      <c r="W36" s="3">
        <v>45000</v>
      </c>
      <c r="X36" s="3"/>
      <c r="Y36" s="3">
        <v>0</v>
      </c>
      <c r="Z36" s="3"/>
      <c r="AA36" s="3">
        <v>0</v>
      </c>
      <c r="AB36" s="3"/>
      <c r="AC36" s="3">
        <f t="shared" si="0"/>
        <v>1444165.9600000004</v>
      </c>
      <c r="AD36" s="3"/>
      <c r="AE36" s="39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</row>
    <row r="37" spans="1:29" s="9" customFormat="1" ht="12">
      <c r="A37" s="9" t="s">
        <v>90</v>
      </c>
      <c r="C37" s="9" t="s">
        <v>60</v>
      </c>
      <c r="E37" s="9">
        <v>1368472</v>
      </c>
      <c r="G37" s="9">
        <v>964828</v>
      </c>
      <c r="I37" s="9">
        <v>0</v>
      </c>
      <c r="K37" s="9">
        <v>62916</v>
      </c>
      <c r="M37" s="9">
        <v>0</v>
      </c>
      <c r="O37" s="9">
        <v>220</v>
      </c>
      <c r="Q37" s="9">
        <v>44166</v>
      </c>
      <c r="S37" s="9">
        <v>2345</v>
      </c>
      <c r="U37" s="9">
        <v>0</v>
      </c>
      <c r="W37" s="9">
        <v>0</v>
      </c>
      <c r="Y37" s="9">
        <v>0</v>
      </c>
      <c r="AA37" s="9">
        <v>0</v>
      </c>
      <c r="AC37" s="9">
        <f t="shared" si="0"/>
        <v>2442947</v>
      </c>
    </row>
    <row r="38" spans="1:63" s="9" customFormat="1" ht="12">
      <c r="A38" s="3" t="s">
        <v>514</v>
      </c>
      <c r="B38" s="3"/>
      <c r="C38" s="3" t="s">
        <v>23</v>
      </c>
      <c r="D38" s="3"/>
      <c r="E38" s="3">
        <v>502966.83</v>
      </c>
      <c r="F38" s="3"/>
      <c r="G38" s="3">
        <v>1078834.12</v>
      </c>
      <c r="H38" s="3"/>
      <c r="I38" s="3">
        <v>58132.7</v>
      </c>
      <c r="J38" s="3"/>
      <c r="K38" s="3">
        <v>29391.77</v>
      </c>
      <c r="L38" s="3"/>
      <c r="M38" s="3">
        <v>0</v>
      </c>
      <c r="N38" s="3"/>
      <c r="O38" s="3">
        <v>6681.85</v>
      </c>
      <c r="P38" s="3"/>
      <c r="Q38" s="3">
        <v>82724</v>
      </c>
      <c r="R38" s="3"/>
      <c r="S38" s="3">
        <v>4023.3</v>
      </c>
      <c r="T38" s="3"/>
      <c r="U38" s="3">
        <v>0</v>
      </c>
      <c r="V38" s="3"/>
      <c r="W38" s="3">
        <v>211000</v>
      </c>
      <c r="X38" s="3"/>
      <c r="Y38" s="3">
        <v>0</v>
      </c>
      <c r="Z38" s="3"/>
      <c r="AA38" s="3">
        <v>0</v>
      </c>
      <c r="AB38" s="3"/>
      <c r="AC38" s="3">
        <f t="shared" si="0"/>
        <v>1973754.5700000003</v>
      </c>
      <c r="AD38" s="3"/>
      <c r="AE38" s="39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</row>
    <row r="39" spans="1:29" s="9" customFormat="1" ht="12" hidden="1">
      <c r="A39" s="9" t="s">
        <v>111</v>
      </c>
      <c r="C39" s="9" t="s">
        <v>18</v>
      </c>
      <c r="E39" s="9">
        <v>0</v>
      </c>
      <c r="G39" s="9">
        <v>0</v>
      </c>
      <c r="I39" s="9">
        <v>0</v>
      </c>
      <c r="K39" s="9">
        <v>0</v>
      </c>
      <c r="M39" s="9">
        <v>0</v>
      </c>
      <c r="O39" s="9">
        <v>0</v>
      </c>
      <c r="Q39" s="9">
        <v>0</v>
      </c>
      <c r="S39" s="9">
        <v>0</v>
      </c>
      <c r="U39" s="9">
        <v>0</v>
      </c>
      <c r="W39" s="9">
        <v>0</v>
      </c>
      <c r="Y39" s="9">
        <v>0</v>
      </c>
      <c r="AA39" s="9">
        <v>0</v>
      </c>
      <c r="AC39" s="9">
        <f t="shared" si="0"/>
        <v>0</v>
      </c>
    </row>
    <row r="40" spans="1:29" s="9" customFormat="1" ht="12" hidden="1">
      <c r="A40" s="9" t="s">
        <v>112</v>
      </c>
      <c r="C40" s="9" t="s">
        <v>113</v>
      </c>
      <c r="E40" s="9">
        <v>0</v>
      </c>
      <c r="G40" s="9">
        <v>0</v>
      </c>
      <c r="I40" s="9">
        <v>0</v>
      </c>
      <c r="K40" s="9">
        <v>0</v>
      </c>
      <c r="M40" s="9">
        <v>0</v>
      </c>
      <c r="O40" s="9">
        <v>0</v>
      </c>
      <c r="Q40" s="9">
        <v>0</v>
      </c>
      <c r="S40" s="9">
        <v>0</v>
      </c>
      <c r="U40" s="9">
        <v>0</v>
      </c>
      <c r="W40" s="9">
        <v>0</v>
      </c>
      <c r="Y40" s="9">
        <v>0</v>
      </c>
      <c r="AA40" s="9">
        <v>0</v>
      </c>
      <c r="AC40" s="9">
        <f t="shared" si="0"/>
        <v>0</v>
      </c>
    </row>
    <row r="41" spans="1:29" s="9" customFormat="1" ht="12" hidden="1">
      <c r="A41" s="9" t="s">
        <v>114</v>
      </c>
      <c r="C41" s="9" t="s">
        <v>26</v>
      </c>
      <c r="E41" s="9">
        <v>0</v>
      </c>
      <c r="G41" s="9">
        <v>0</v>
      </c>
      <c r="I41" s="9">
        <v>0</v>
      </c>
      <c r="K41" s="9">
        <v>0</v>
      </c>
      <c r="M41" s="9">
        <v>0</v>
      </c>
      <c r="O41" s="9">
        <v>0</v>
      </c>
      <c r="Q41" s="9">
        <v>0</v>
      </c>
      <c r="S41" s="9">
        <v>0</v>
      </c>
      <c r="U41" s="9">
        <v>0</v>
      </c>
      <c r="W41" s="9">
        <v>0</v>
      </c>
      <c r="Y41" s="9">
        <v>0</v>
      </c>
      <c r="AA41" s="9">
        <v>0</v>
      </c>
      <c r="AC41" s="9">
        <f aca="true" t="shared" si="1" ref="AC41:AC72">SUM(E41:AA41)</f>
        <v>0</v>
      </c>
    </row>
    <row r="42" spans="1:29" s="9" customFormat="1" ht="12">
      <c r="A42" s="9" t="s">
        <v>22</v>
      </c>
      <c r="C42" s="9" t="s">
        <v>14</v>
      </c>
      <c r="E42" s="9">
        <v>0</v>
      </c>
      <c r="G42" s="9">
        <v>513656</v>
      </c>
      <c r="I42" s="9">
        <v>0</v>
      </c>
      <c r="K42" s="9">
        <v>19224</v>
      </c>
      <c r="M42" s="9">
        <v>0</v>
      </c>
      <c r="O42" s="9">
        <v>3589</v>
      </c>
      <c r="Q42" s="9">
        <v>28400</v>
      </c>
      <c r="S42" s="9">
        <v>234</v>
      </c>
      <c r="U42" s="9">
        <v>0</v>
      </c>
      <c r="W42" s="9">
        <v>35000</v>
      </c>
      <c r="Y42" s="9">
        <v>0</v>
      </c>
      <c r="AA42" s="9">
        <v>0</v>
      </c>
      <c r="AC42" s="9">
        <f t="shared" si="1"/>
        <v>600103</v>
      </c>
    </row>
    <row r="43" spans="1:63" s="9" customFormat="1" ht="12">
      <c r="A43" s="3" t="s">
        <v>91</v>
      </c>
      <c r="B43" s="3"/>
      <c r="C43" s="3" t="s">
        <v>14</v>
      </c>
      <c r="D43" s="3"/>
      <c r="E43" s="3">
        <v>0</v>
      </c>
      <c r="F43" s="3"/>
      <c r="G43" s="3">
        <v>513655.46</v>
      </c>
      <c r="H43" s="3"/>
      <c r="I43" s="3">
        <v>0</v>
      </c>
      <c r="J43" s="3"/>
      <c r="K43" s="3">
        <v>9387.69</v>
      </c>
      <c r="L43" s="3"/>
      <c r="M43" s="3">
        <v>0</v>
      </c>
      <c r="N43" s="3"/>
      <c r="O43" s="3">
        <v>3215</v>
      </c>
      <c r="P43" s="3"/>
      <c r="Q43" s="3">
        <v>46955.65</v>
      </c>
      <c r="R43" s="3"/>
      <c r="S43" s="3">
        <v>58.85</v>
      </c>
      <c r="T43" s="3"/>
      <c r="U43" s="3">
        <v>0</v>
      </c>
      <c r="V43" s="3"/>
      <c r="W43" s="3">
        <v>0</v>
      </c>
      <c r="X43" s="3"/>
      <c r="Y43" s="3">
        <v>0</v>
      </c>
      <c r="Z43" s="3"/>
      <c r="AA43" s="3">
        <v>0</v>
      </c>
      <c r="AB43" s="3"/>
      <c r="AC43" s="3">
        <f t="shared" si="1"/>
        <v>573272.65</v>
      </c>
      <c r="AD43" s="3"/>
      <c r="AE43" s="39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</row>
    <row r="44" spans="1:29" s="9" customFormat="1" ht="12">
      <c r="A44" s="9" t="s">
        <v>92</v>
      </c>
      <c r="C44" s="9" t="s">
        <v>93</v>
      </c>
      <c r="E44" s="3">
        <v>0</v>
      </c>
      <c r="F44" s="3"/>
      <c r="G44" s="3">
        <v>83847</v>
      </c>
      <c r="H44" s="3"/>
      <c r="I44" s="3">
        <v>0</v>
      </c>
      <c r="J44" s="3"/>
      <c r="K44" s="3">
        <v>2987</v>
      </c>
      <c r="L44" s="3"/>
      <c r="M44" s="3">
        <v>0</v>
      </c>
      <c r="N44" s="3"/>
      <c r="O44" s="3">
        <v>571</v>
      </c>
      <c r="P44" s="3"/>
      <c r="Q44" s="3">
        <v>6916</v>
      </c>
      <c r="R44" s="3"/>
      <c r="S44" s="3">
        <v>519</v>
      </c>
      <c r="T44" s="3"/>
      <c r="U44" s="3">
        <v>0</v>
      </c>
      <c r="V44" s="3"/>
      <c r="W44" s="3">
        <v>0</v>
      </c>
      <c r="X44" s="3"/>
      <c r="Y44" s="3">
        <v>0</v>
      </c>
      <c r="Z44" s="3"/>
      <c r="AA44" s="3">
        <v>0</v>
      </c>
      <c r="AC44" s="9">
        <f t="shared" si="1"/>
        <v>94840</v>
      </c>
    </row>
    <row r="45" spans="1:29" s="9" customFormat="1" ht="12" hidden="1">
      <c r="A45" s="9" t="s">
        <v>118</v>
      </c>
      <c r="C45" s="9" t="s">
        <v>51</v>
      </c>
      <c r="E45" s="9">
        <v>0</v>
      </c>
      <c r="G45" s="9">
        <v>0</v>
      </c>
      <c r="I45" s="9">
        <v>0</v>
      </c>
      <c r="K45" s="9">
        <v>0</v>
      </c>
      <c r="M45" s="9">
        <v>0</v>
      </c>
      <c r="O45" s="9">
        <v>0</v>
      </c>
      <c r="Q45" s="9">
        <v>0</v>
      </c>
      <c r="S45" s="9">
        <v>0</v>
      </c>
      <c r="U45" s="9">
        <v>0</v>
      </c>
      <c r="W45" s="9">
        <v>0</v>
      </c>
      <c r="Y45" s="9">
        <v>0</v>
      </c>
      <c r="AA45" s="9">
        <v>0</v>
      </c>
      <c r="AC45" s="9">
        <f t="shared" si="1"/>
        <v>0</v>
      </c>
    </row>
    <row r="46" spans="1:29" s="9" customFormat="1" ht="12">
      <c r="A46" s="9" t="s">
        <v>94</v>
      </c>
      <c r="C46" s="9" t="s">
        <v>95</v>
      </c>
      <c r="E46" s="3">
        <v>293247</v>
      </c>
      <c r="F46" s="3"/>
      <c r="G46" s="3">
        <v>0</v>
      </c>
      <c r="H46" s="3"/>
      <c r="I46" s="3">
        <v>695907</v>
      </c>
      <c r="J46" s="3"/>
      <c r="K46" s="3">
        <v>26912</v>
      </c>
      <c r="L46" s="3"/>
      <c r="M46" s="3">
        <v>0</v>
      </c>
      <c r="N46" s="3"/>
      <c r="O46" s="3">
        <v>23485</v>
      </c>
      <c r="P46" s="3"/>
      <c r="Q46" s="3">
        <v>53991</v>
      </c>
      <c r="R46" s="3"/>
      <c r="S46" s="3">
        <v>1361</v>
      </c>
      <c r="T46" s="3"/>
      <c r="U46" s="3">
        <v>0</v>
      </c>
      <c r="V46" s="3"/>
      <c r="W46" s="3">
        <v>150000</v>
      </c>
      <c r="X46" s="3"/>
      <c r="Y46" s="3">
        <v>0</v>
      </c>
      <c r="Z46" s="3"/>
      <c r="AA46" s="3">
        <v>0</v>
      </c>
      <c r="AC46" s="9">
        <f t="shared" si="1"/>
        <v>1244903</v>
      </c>
    </row>
    <row r="47" spans="1:29" s="9" customFormat="1" ht="12">
      <c r="A47" s="9" t="s">
        <v>96</v>
      </c>
      <c r="C47" s="9" t="s">
        <v>48</v>
      </c>
      <c r="E47" s="3">
        <v>6107</v>
      </c>
      <c r="F47" s="3"/>
      <c r="G47" s="3">
        <v>140462</v>
      </c>
      <c r="H47" s="3"/>
      <c r="I47" s="3">
        <v>0</v>
      </c>
      <c r="J47" s="3"/>
      <c r="K47" s="3">
        <v>5264</v>
      </c>
      <c r="L47" s="3"/>
      <c r="M47" s="3">
        <v>0</v>
      </c>
      <c r="N47" s="3"/>
      <c r="O47" s="3">
        <v>448</v>
      </c>
      <c r="P47" s="3"/>
      <c r="Q47" s="3">
        <v>10510</v>
      </c>
      <c r="R47" s="3"/>
      <c r="S47" s="3">
        <v>0</v>
      </c>
      <c r="T47" s="3"/>
      <c r="U47" s="3">
        <v>0</v>
      </c>
      <c r="V47" s="3"/>
      <c r="W47" s="3">
        <v>30000</v>
      </c>
      <c r="X47" s="3"/>
      <c r="Y47" s="3">
        <v>0</v>
      </c>
      <c r="Z47" s="3"/>
      <c r="AA47" s="3">
        <v>0</v>
      </c>
      <c r="AC47" s="9">
        <f t="shared" si="1"/>
        <v>192791</v>
      </c>
    </row>
    <row r="48" spans="1:29" s="9" customFormat="1" ht="12" hidden="1">
      <c r="A48" s="9" t="s">
        <v>121</v>
      </c>
      <c r="C48" s="9" t="s">
        <v>52</v>
      </c>
      <c r="E48" s="9">
        <v>0</v>
      </c>
      <c r="G48" s="9">
        <v>0</v>
      </c>
      <c r="I48" s="9">
        <v>0</v>
      </c>
      <c r="K48" s="9">
        <v>0</v>
      </c>
      <c r="M48" s="9">
        <v>0</v>
      </c>
      <c r="O48" s="9">
        <v>0</v>
      </c>
      <c r="Q48" s="9">
        <v>0</v>
      </c>
      <c r="S48" s="9">
        <v>0</v>
      </c>
      <c r="U48" s="9">
        <v>0</v>
      </c>
      <c r="W48" s="9">
        <v>0</v>
      </c>
      <c r="Y48" s="9">
        <v>0</v>
      </c>
      <c r="AA48" s="9">
        <v>0</v>
      </c>
      <c r="AC48" s="9">
        <f t="shared" si="1"/>
        <v>0</v>
      </c>
    </row>
    <row r="49" spans="1:29" s="9" customFormat="1" ht="12">
      <c r="A49" s="9" t="s">
        <v>97</v>
      </c>
      <c r="C49" s="9" t="s">
        <v>98</v>
      </c>
      <c r="E49" s="9">
        <v>0</v>
      </c>
      <c r="G49" s="9">
        <v>1886471</v>
      </c>
      <c r="I49" s="9">
        <v>0</v>
      </c>
      <c r="K49" s="9">
        <v>70146</v>
      </c>
      <c r="M49" s="9">
        <v>0</v>
      </c>
      <c r="O49" s="9">
        <v>23709</v>
      </c>
      <c r="Q49" s="9">
        <v>78895</v>
      </c>
      <c r="S49" s="9">
        <v>6694</v>
      </c>
      <c r="U49" s="9">
        <v>0</v>
      </c>
      <c r="W49" s="9">
        <v>0</v>
      </c>
      <c r="Y49" s="9">
        <v>0</v>
      </c>
      <c r="AA49" s="9">
        <v>0</v>
      </c>
      <c r="AC49" s="9">
        <f t="shared" si="1"/>
        <v>2065915</v>
      </c>
    </row>
    <row r="50" spans="1:29" s="9" customFormat="1" ht="12.75" customHeight="1" hidden="1">
      <c r="A50" s="9" t="s">
        <v>124</v>
      </c>
      <c r="C50" s="9" t="s">
        <v>27</v>
      </c>
      <c r="E50" s="9">
        <v>0</v>
      </c>
      <c r="G50" s="9">
        <v>0</v>
      </c>
      <c r="I50" s="9">
        <v>0</v>
      </c>
      <c r="K50" s="9">
        <v>0</v>
      </c>
      <c r="M50" s="9">
        <v>0</v>
      </c>
      <c r="O50" s="9">
        <v>0</v>
      </c>
      <c r="Q50" s="9">
        <v>0</v>
      </c>
      <c r="S50" s="9">
        <v>0</v>
      </c>
      <c r="U50" s="9">
        <v>0</v>
      </c>
      <c r="W50" s="9">
        <v>0</v>
      </c>
      <c r="Y50" s="9">
        <v>0</v>
      </c>
      <c r="AA50" s="9">
        <v>0</v>
      </c>
      <c r="AC50" s="9">
        <f t="shared" si="1"/>
        <v>0</v>
      </c>
    </row>
    <row r="51" spans="1:29" s="9" customFormat="1" ht="12">
      <c r="A51" s="9" t="s">
        <v>99</v>
      </c>
      <c r="C51" s="9" t="s">
        <v>100</v>
      </c>
      <c r="E51" s="9">
        <v>0</v>
      </c>
      <c r="G51" s="9">
        <v>0</v>
      </c>
      <c r="I51" s="9">
        <v>1755552</v>
      </c>
      <c r="K51" s="9">
        <v>32016</v>
      </c>
      <c r="M51" s="9">
        <v>0</v>
      </c>
      <c r="O51" s="9">
        <v>33883</v>
      </c>
      <c r="Q51" s="9">
        <v>217561</v>
      </c>
      <c r="S51" s="9">
        <v>10998</v>
      </c>
      <c r="U51" s="9">
        <v>0</v>
      </c>
      <c r="W51" s="9">
        <v>0</v>
      </c>
      <c r="Y51" s="9">
        <v>0</v>
      </c>
      <c r="AA51" s="9">
        <v>0</v>
      </c>
      <c r="AC51" s="9">
        <f t="shared" si="1"/>
        <v>2050010</v>
      </c>
    </row>
    <row r="52" spans="1:29" s="9" customFormat="1" ht="12">
      <c r="A52" s="9" t="s">
        <v>101</v>
      </c>
      <c r="C52" s="9" t="s">
        <v>72</v>
      </c>
      <c r="E52" s="9">
        <v>127953</v>
      </c>
      <c r="G52" s="9">
        <v>498524</v>
      </c>
      <c r="I52" s="9">
        <v>0</v>
      </c>
      <c r="K52" s="9">
        <v>10703</v>
      </c>
      <c r="M52" s="9">
        <v>0</v>
      </c>
      <c r="O52" s="9">
        <v>2840</v>
      </c>
      <c r="Q52" s="9">
        <v>6871</v>
      </c>
      <c r="S52" s="9">
        <v>5160</v>
      </c>
      <c r="U52" s="9">
        <v>0</v>
      </c>
      <c r="W52" s="9">
        <v>0</v>
      </c>
      <c r="Y52" s="9">
        <v>0</v>
      </c>
      <c r="AA52" s="9">
        <v>0</v>
      </c>
      <c r="AC52" s="9">
        <f t="shared" si="1"/>
        <v>652051</v>
      </c>
    </row>
    <row r="53" spans="1:63" s="9" customFormat="1" ht="12">
      <c r="A53" s="3" t="s">
        <v>102</v>
      </c>
      <c r="B53" s="3"/>
      <c r="C53" s="3" t="s">
        <v>48</v>
      </c>
      <c r="D53" s="3"/>
      <c r="E53" s="3">
        <v>0</v>
      </c>
      <c r="F53" s="3"/>
      <c r="G53" s="3">
        <v>0</v>
      </c>
      <c r="H53" s="3"/>
      <c r="I53" s="3">
        <v>155247.04</v>
      </c>
      <c r="J53" s="3"/>
      <c r="K53" s="3">
        <v>2721.53</v>
      </c>
      <c r="L53" s="3"/>
      <c r="M53" s="3">
        <v>0</v>
      </c>
      <c r="N53" s="3"/>
      <c r="O53" s="3">
        <v>2065.69</v>
      </c>
      <c r="P53" s="3"/>
      <c r="Q53" s="3">
        <v>1810.56</v>
      </c>
      <c r="R53" s="3"/>
      <c r="S53" s="3">
        <v>37.5</v>
      </c>
      <c r="T53" s="3"/>
      <c r="U53" s="3">
        <v>0</v>
      </c>
      <c r="V53" s="3"/>
      <c r="W53" s="3">
        <v>21590.96</v>
      </c>
      <c r="X53" s="3"/>
      <c r="Y53" s="3">
        <v>0</v>
      </c>
      <c r="Z53" s="3"/>
      <c r="AA53" s="3">
        <v>0</v>
      </c>
      <c r="AB53" s="3"/>
      <c r="AC53" s="3">
        <f t="shared" si="1"/>
        <v>183473.28</v>
      </c>
      <c r="AD53" s="3"/>
      <c r="AE53" s="39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</row>
    <row r="54" spans="1:29" s="9" customFormat="1" ht="12" hidden="1">
      <c r="A54" s="9" t="s">
        <v>127</v>
      </c>
      <c r="C54" s="9" t="s">
        <v>100</v>
      </c>
      <c r="E54" s="9">
        <v>0</v>
      </c>
      <c r="G54" s="9">
        <v>0</v>
      </c>
      <c r="I54" s="9">
        <v>0</v>
      </c>
      <c r="K54" s="9">
        <v>0</v>
      </c>
      <c r="M54" s="9">
        <v>0</v>
      </c>
      <c r="O54" s="9">
        <v>0</v>
      </c>
      <c r="Q54" s="9">
        <v>0</v>
      </c>
      <c r="S54" s="9">
        <v>0</v>
      </c>
      <c r="U54" s="9">
        <v>0</v>
      </c>
      <c r="W54" s="9">
        <v>0</v>
      </c>
      <c r="Y54" s="9">
        <v>0</v>
      </c>
      <c r="AA54" s="9">
        <v>0</v>
      </c>
      <c r="AC54" s="9">
        <f t="shared" si="1"/>
        <v>0</v>
      </c>
    </row>
    <row r="55" spans="1:29" s="9" customFormat="1" ht="12" hidden="1">
      <c r="A55" s="9" t="s">
        <v>36</v>
      </c>
      <c r="C55" s="9" t="s">
        <v>53</v>
      </c>
      <c r="E55" s="9">
        <v>0</v>
      </c>
      <c r="G55" s="9">
        <v>0</v>
      </c>
      <c r="I55" s="9">
        <v>0</v>
      </c>
      <c r="K55" s="9">
        <v>0</v>
      </c>
      <c r="M55" s="9">
        <v>0</v>
      </c>
      <c r="O55" s="9">
        <v>0</v>
      </c>
      <c r="Q55" s="9">
        <v>0</v>
      </c>
      <c r="S55" s="9">
        <v>0</v>
      </c>
      <c r="U55" s="9">
        <v>0</v>
      </c>
      <c r="W55" s="9">
        <v>0</v>
      </c>
      <c r="Y55" s="9">
        <v>0</v>
      </c>
      <c r="AA55" s="9">
        <v>0</v>
      </c>
      <c r="AC55" s="9">
        <f t="shared" si="1"/>
        <v>0</v>
      </c>
    </row>
    <row r="56" spans="1:29" s="9" customFormat="1" ht="12" hidden="1">
      <c r="A56" s="9" t="s">
        <v>494</v>
      </c>
      <c r="C56" s="9" t="s">
        <v>98</v>
      </c>
      <c r="E56" s="3">
        <v>0</v>
      </c>
      <c r="F56" s="3"/>
      <c r="G56" s="3">
        <v>0</v>
      </c>
      <c r="H56" s="3"/>
      <c r="I56" s="3">
        <v>0</v>
      </c>
      <c r="J56" s="3"/>
      <c r="K56" s="3">
        <v>0</v>
      </c>
      <c r="L56" s="3"/>
      <c r="M56" s="3">
        <v>0</v>
      </c>
      <c r="N56" s="3"/>
      <c r="O56" s="3">
        <v>0</v>
      </c>
      <c r="P56" s="3"/>
      <c r="Q56" s="3">
        <v>0</v>
      </c>
      <c r="R56" s="3"/>
      <c r="S56" s="3">
        <v>0</v>
      </c>
      <c r="T56" s="3"/>
      <c r="U56" s="3">
        <v>0</v>
      </c>
      <c r="V56" s="3"/>
      <c r="W56" s="3">
        <v>0</v>
      </c>
      <c r="X56" s="3"/>
      <c r="Y56" s="3">
        <v>0</v>
      </c>
      <c r="Z56" s="3"/>
      <c r="AA56" s="3">
        <v>0</v>
      </c>
      <c r="AC56" s="9">
        <f t="shared" si="1"/>
        <v>0</v>
      </c>
    </row>
    <row r="57" spans="1:63" s="9" customFormat="1" ht="12">
      <c r="A57" s="3" t="s">
        <v>344</v>
      </c>
      <c r="B57" s="3"/>
      <c r="C57" s="3" t="s">
        <v>104</v>
      </c>
      <c r="D57" s="3"/>
      <c r="E57" s="3">
        <v>111596.49</v>
      </c>
      <c r="F57" s="3"/>
      <c r="G57" s="3">
        <v>282455.84</v>
      </c>
      <c r="H57" s="3"/>
      <c r="I57" s="3">
        <v>16556.14</v>
      </c>
      <c r="J57" s="3"/>
      <c r="K57" s="3">
        <v>8328.01</v>
      </c>
      <c r="L57" s="3"/>
      <c r="M57" s="3">
        <v>0</v>
      </c>
      <c r="N57" s="3"/>
      <c r="O57" s="3">
        <v>583.99</v>
      </c>
      <c r="P57" s="3"/>
      <c r="Q57" s="3">
        <v>21586.84</v>
      </c>
      <c r="R57" s="3"/>
      <c r="S57" s="3">
        <v>2030.12</v>
      </c>
      <c r="T57" s="3"/>
      <c r="U57" s="3">
        <v>0</v>
      </c>
      <c r="V57" s="3"/>
      <c r="W57" s="3">
        <v>0</v>
      </c>
      <c r="X57" s="3"/>
      <c r="Y57" s="3">
        <v>0</v>
      </c>
      <c r="Z57" s="3"/>
      <c r="AA57" s="3">
        <v>0</v>
      </c>
      <c r="AB57" s="3"/>
      <c r="AC57" s="3">
        <f t="shared" si="1"/>
        <v>443137.43000000005</v>
      </c>
      <c r="AD57" s="3"/>
      <c r="AE57" s="39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</row>
    <row r="58" spans="1:60" s="42" customFormat="1" ht="12" hidden="1">
      <c r="A58" s="9" t="s">
        <v>417</v>
      </c>
      <c r="B58" s="9"/>
      <c r="C58" s="9" t="s">
        <v>73</v>
      </c>
      <c r="D58" s="9"/>
      <c r="E58" s="9">
        <v>0</v>
      </c>
      <c r="F58" s="9"/>
      <c r="G58" s="9">
        <v>0</v>
      </c>
      <c r="H58" s="9"/>
      <c r="I58" s="9">
        <v>0</v>
      </c>
      <c r="J58" s="9"/>
      <c r="K58" s="9">
        <v>0</v>
      </c>
      <c r="L58" s="9"/>
      <c r="M58" s="9">
        <v>0</v>
      </c>
      <c r="N58" s="9"/>
      <c r="O58" s="9">
        <v>0</v>
      </c>
      <c r="P58" s="9"/>
      <c r="Q58" s="9">
        <v>0</v>
      </c>
      <c r="R58" s="9"/>
      <c r="S58" s="9">
        <v>0</v>
      </c>
      <c r="T58" s="9"/>
      <c r="U58" s="9">
        <v>0</v>
      </c>
      <c r="V58" s="9"/>
      <c r="W58" s="9">
        <v>0</v>
      </c>
      <c r="X58" s="9"/>
      <c r="Y58" s="9">
        <v>0</v>
      </c>
      <c r="Z58" s="9"/>
      <c r="AA58" s="9">
        <v>0</v>
      </c>
      <c r="AB58" s="40"/>
      <c r="AC58" s="9">
        <f t="shared" si="1"/>
        <v>0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</row>
    <row r="59" spans="1:63" s="9" customFormat="1" ht="12">
      <c r="A59" s="3" t="s">
        <v>105</v>
      </c>
      <c r="B59" s="3"/>
      <c r="C59" s="3" t="s">
        <v>49</v>
      </c>
      <c r="D59" s="3"/>
      <c r="E59" s="3">
        <v>0</v>
      </c>
      <c r="F59" s="3"/>
      <c r="G59" s="3">
        <v>229043.6</v>
      </c>
      <c r="H59" s="3"/>
      <c r="I59" s="3">
        <v>0</v>
      </c>
      <c r="J59" s="3"/>
      <c r="K59" s="3">
        <v>4106.5</v>
      </c>
      <c r="L59" s="3"/>
      <c r="M59" s="3">
        <v>0</v>
      </c>
      <c r="N59" s="3"/>
      <c r="O59" s="3">
        <v>2135</v>
      </c>
      <c r="P59" s="3"/>
      <c r="Q59" s="3">
        <v>15007.8</v>
      </c>
      <c r="R59" s="3"/>
      <c r="S59" s="3">
        <v>478.94</v>
      </c>
      <c r="T59" s="3"/>
      <c r="U59" s="3">
        <v>0</v>
      </c>
      <c r="V59" s="3"/>
      <c r="W59" s="3">
        <v>0</v>
      </c>
      <c r="X59" s="3"/>
      <c r="Y59" s="3">
        <v>0</v>
      </c>
      <c r="Z59" s="3"/>
      <c r="AA59" s="3">
        <v>0</v>
      </c>
      <c r="AB59" s="3"/>
      <c r="AC59" s="3">
        <f t="shared" si="1"/>
        <v>250771.84</v>
      </c>
      <c r="AD59" s="3"/>
      <c r="AE59" s="39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</row>
    <row r="60" spans="1:63" s="9" customFormat="1" ht="12">
      <c r="A60" s="3" t="s">
        <v>106</v>
      </c>
      <c r="B60" s="3"/>
      <c r="C60" s="3" t="s">
        <v>56</v>
      </c>
      <c r="D60" s="3"/>
      <c r="E60" s="3">
        <v>0</v>
      </c>
      <c r="F60" s="3"/>
      <c r="G60" s="3">
        <v>208722.93</v>
      </c>
      <c r="H60" s="3"/>
      <c r="I60" s="3">
        <v>0</v>
      </c>
      <c r="J60" s="3"/>
      <c r="K60" s="3">
        <v>8849.24</v>
      </c>
      <c r="L60" s="3"/>
      <c r="M60" s="3">
        <v>0</v>
      </c>
      <c r="N60" s="3"/>
      <c r="O60" s="3">
        <v>705</v>
      </c>
      <c r="P60" s="3"/>
      <c r="Q60" s="3">
        <v>7660.42</v>
      </c>
      <c r="R60" s="3"/>
      <c r="S60" s="3">
        <v>455.72</v>
      </c>
      <c r="T60" s="3"/>
      <c r="U60" s="3">
        <v>228</v>
      </c>
      <c r="V60" s="3"/>
      <c r="W60" s="3">
        <v>10000</v>
      </c>
      <c r="X60" s="3"/>
      <c r="Y60" s="3">
        <v>0</v>
      </c>
      <c r="Z60" s="3"/>
      <c r="AA60" s="3">
        <v>0</v>
      </c>
      <c r="AB60" s="3"/>
      <c r="AC60" s="3">
        <f t="shared" si="1"/>
        <v>236621.31</v>
      </c>
      <c r="AD60" s="3"/>
      <c r="AE60" s="39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</row>
    <row r="61" spans="1:29" s="9" customFormat="1" ht="12" hidden="1">
      <c r="A61" s="9" t="s">
        <v>132</v>
      </c>
      <c r="C61" s="9" t="s">
        <v>55</v>
      </c>
      <c r="E61" s="9">
        <v>0</v>
      </c>
      <c r="G61" s="9">
        <v>0</v>
      </c>
      <c r="I61" s="9">
        <v>0</v>
      </c>
      <c r="K61" s="9">
        <v>0</v>
      </c>
      <c r="M61" s="9">
        <v>0</v>
      </c>
      <c r="O61" s="9">
        <v>0</v>
      </c>
      <c r="Q61" s="9">
        <v>0</v>
      </c>
      <c r="S61" s="9">
        <v>0</v>
      </c>
      <c r="U61" s="9">
        <v>0</v>
      </c>
      <c r="W61" s="9">
        <v>0</v>
      </c>
      <c r="Y61" s="9">
        <v>0</v>
      </c>
      <c r="AA61" s="9">
        <v>0</v>
      </c>
      <c r="AC61" s="9">
        <f t="shared" si="1"/>
        <v>0</v>
      </c>
    </row>
    <row r="62" spans="1:29" s="9" customFormat="1" ht="12">
      <c r="A62" s="9" t="s">
        <v>107</v>
      </c>
      <c r="C62" s="9" t="s">
        <v>59</v>
      </c>
      <c r="E62" s="9">
        <v>0</v>
      </c>
      <c r="G62" s="9">
        <v>0</v>
      </c>
      <c r="I62" s="9">
        <v>494450</v>
      </c>
      <c r="K62" s="9">
        <v>12610</v>
      </c>
      <c r="M62" s="9">
        <v>0</v>
      </c>
      <c r="O62" s="9">
        <v>75</v>
      </c>
      <c r="Q62" s="9">
        <v>97030</v>
      </c>
      <c r="S62" s="9">
        <v>443</v>
      </c>
      <c r="U62" s="9">
        <v>0</v>
      </c>
      <c r="W62" s="9">
        <v>500000</v>
      </c>
      <c r="Y62" s="9">
        <v>0</v>
      </c>
      <c r="AA62" s="9">
        <v>11550</v>
      </c>
      <c r="AC62" s="9">
        <f t="shared" si="1"/>
        <v>1116158</v>
      </c>
    </row>
    <row r="63" spans="1:63" s="9" customFormat="1" ht="12">
      <c r="A63" s="3" t="s">
        <v>596</v>
      </c>
      <c r="B63" s="3"/>
      <c r="C63" s="3" t="s">
        <v>59</v>
      </c>
      <c r="D63" s="3"/>
      <c r="E63" s="3">
        <v>0</v>
      </c>
      <c r="F63" s="3"/>
      <c r="G63" s="3">
        <v>494449.52</v>
      </c>
      <c r="H63" s="3"/>
      <c r="I63" s="3">
        <v>0</v>
      </c>
      <c r="J63" s="3"/>
      <c r="K63" s="3">
        <v>12609.89</v>
      </c>
      <c r="L63" s="3"/>
      <c r="M63" s="3">
        <v>0</v>
      </c>
      <c r="N63" s="3"/>
      <c r="O63" s="3">
        <v>75</v>
      </c>
      <c r="P63" s="3"/>
      <c r="Q63" s="3">
        <v>90689.57</v>
      </c>
      <c r="R63" s="3"/>
      <c r="S63" s="3">
        <v>11993.43</v>
      </c>
      <c r="T63" s="3"/>
      <c r="U63" s="3">
        <v>0</v>
      </c>
      <c r="V63" s="3"/>
      <c r="W63" s="3">
        <v>0</v>
      </c>
      <c r="X63" s="3"/>
      <c r="Y63" s="3">
        <v>0</v>
      </c>
      <c r="Z63" s="3"/>
      <c r="AA63" s="3">
        <v>0</v>
      </c>
      <c r="AB63" s="3"/>
      <c r="AC63" s="3">
        <f t="shared" si="1"/>
        <v>609817.41</v>
      </c>
      <c r="AD63" s="3"/>
      <c r="AE63" s="39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</row>
    <row r="64" spans="1:63" s="9" customFormat="1" ht="12">
      <c r="A64" s="3" t="s">
        <v>549</v>
      </c>
      <c r="B64" s="3"/>
      <c r="C64" s="3" t="s">
        <v>50</v>
      </c>
      <c r="D64" s="3"/>
      <c r="E64" s="3">
        <v>0</v>
      </c>
      <c r="F64" s="3"/>
      <c r="G64" s="3">
        <v>867570.37</v>
      </c>
      <c r="H64" s="3"/>
      <c r="I64" s="3">
        <v>0</v>
      </c>
      <c r="J64" s="3"/>
      <c r="K64" s="3">
        <v>34431.85</v>
      </c>
      <c r="L64" s="3"/>
      <c r="M64" s="3">
        <v>0</v>
      </c>
      <c r="N64" s="3"/>
      <c r="O64" s="3">
        <v>1372.63</v>
      </c>
      <c r="P64" s="3"/>
      <c r="Q64" s="3">
        <v>7359.73</v>
      </c>
      <c r="R64" s="3"/>
      <c r="S64" s="3">
        <v>20862.38</v>
      </c>
      <c r="T64" s="3"/>
      <c r="U64" s="3">
        <v>615</v>
      </c>
      <c r="V64" s="3"/>
      <c r="W64" s="3">
        <v>0</v>
      </c>
      <c r="X64" s="3"/>
      <c r="Y64" s="3">
        <v>0</v>
      </c>
      <c r="Z64" s="3"/>
      <c r="AA64" s="3">
        <v>0</v>
      </c>
      <c r="AB64" s="3"/>
      <c r="AC64" s="3">
        <f t="shared" si="1"/>
        <v>932211.96</v>
      </c>
      <c r="AD64" s="3"/>
      <c r="AE64" s="39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</row>
    <row r="65" spans="1:29" s="9" customFormat="1" ht="12">
      <c r="A65" s="9" t="s">
        <v>108</v>
      </c>
      <c r="C65" s="9" t="s">
        <v>109</v>
      </c>
      <c r="E65" s="3">
        <v>0</v>
      </c>
      <c r="F65" s="3"/>
      <c r="G65" s="3">
        <v>122462</v>
      </c>
      <c r="H65" s="3"/>
      <c r="I65" s="3">
        <v>0</v>
      </c>
      <c r="J65" s="3"/>
      <c r="K65" s="3">
        <v>6626</v>
      </c>
      <c r="L65" s="3"/>
      <c r="M65" s="3">
        <v>0</v>
      </c>
      <c r="N65" s="3"/>
      <c r="O65" s="3">
        <v>1025</v>
      </c>
      <c r="P65" s="3"/>
      <c r="Q65" s="3">
        <v>9918</v>
      </c>
      <c r="R65" s="3"/>
      <c r="S65" s="3">
        <v>0</v>
      </c>
      <c r="T65" s="3"/>
      <c r="U65" s="3">
        <v>0</v>
      </c>
      <c r="V65" s="3"/>
      <c r="W65" s="3">
        <v>0</v>
      </c>
      <c r="X65" s="3"/>
      <c r="Y65" s="3">
        <v>0</v>
      </c>
      <c r="Z65" s="3"/>
      <c r="AA65" s="9">
        <v>0</v>
      </c>
      <c r="AC65" s="9">
        <f t="shared" si="1"/>
        <v>140031</v>
      </c>
    </row>
    <row r="66" spans="1:29" s="9" customFormat="1" ht="12">
      <c r="A66" s="9" t="s">
        <v>110</v>
      </c>
      <c r="C66" s="9" t="s">
        <v>55</v>
      </c>
      <c r="E66" s="9">
        <v>639806</v>
      </c>
      <c r="G66" s="9">
        <v>0</v>
      </c>
      <c r="I66" s="9">
        <v>0</v>
      </c>
      <c r="K66" s="9">
        <v>8650</v>
      </c>
      <c r="M66" s="9">
        <v>0</v>
      </c>
      <c r="O66" s="9">
        <f>319789+1755</f>
        <v>321544</v>
      </c>
      <c r="Q66" s="9">
        <v>155027</v>
      </c>
      <c r="S66" s="9">
        <f>165+7652+983</f>
        <v>8800</v>
      </c>
      <c r="U66" s="9">
        <v>0</v>
      </c>
      <c r="W66" s="9">
        <v>32222</v>
      </c>
      <c r="Y66" s="9">
        <v>0</v>
      </c>
      <c r="AA66" s="9">
        <v>0</v>
      </c>
      <c r="AC66" s="9">
        <f t="shared" si="1"/>
        <v>1166049</v>
      </c>
    </row>
    <row r="67" spans="1:29" s="9" customFormat="1" ht="12" hidden="1">
      <c r="A67" s="9" t="s">
        <v>138</v>
      </c>
      <c r="C67" s="9" t="s">
        <v>104</v>
      </c>
      <c r="E67" s="9">
        <v>0</v>
      </c>
      <c r="G67" s="9">
        <v>0</v>
      </c>
      <c r="I67" s="9">
        <v>0</v>
      </c>
      <c r="K67" s="9">
        <v>0</v>
      </c>
      <c r="M67" s="9">
        <v>0</v>
      </c>
      <c r="O67" s="9">
        <v>0</v>
      </c>
      <c r="Q67" s="9">
        <v>0</v>
      </c>
      <c r="S67" s="9">
        <v>0</v>
      </c>
      <c r="U67" s="9">
        <v>0</v>
      </c>
      <c r="W67" s="9">
        <v>0</v>
      </c>
      <c r="Y67" s="9">
        <v>0</v>
      </c>
      <c r="AA67" s="9">
        <v>0</v>
      </c>
      <c r="AC67" s="9">
        <f t="shared" si="1"/>
        <v>0</v>
      </c>
    </row>
    <row r="68" spans="1:29" s="9" customFormat="1" ht="12" hidden="1">
      <c r="A68" s="9" t="s">
        <v>139</v>
      </c>
      <c r="C68" s="9" t="s">
        <v>45</v>
      </c>
      <c r="E68" s="9">
        <v>0</v>
      </c>
      <c r="G68" s="9">
        <v>0</v>
      </c>
      <c r="I68" s="9">
        <v>0</v>
      </c>
      <c r="K68" s="9">
        <v>0</v>
      </c>
      <c r="M68" s="9">
        <v>0</v>
      </c>
      <c r="O68" s="9">
        <v>0</v>
      </c>
      <c r="Q68" s="9">
        <v>0</v>
      </c>
      <c r="S68" s="9">
        <v>0</v>
      </c>
      <c r="U68" s="9">
        <v>0</v>
      </c>
      <c r="W68" s="9">
        <v>0</v>
      </c>
      <c r="Y68" s="9">
        <v>0</v>
      </c>
      <c r="AA68" s="9">
        <v>0</v>
      </c>
      <c r="AC68" s="9">
        <f t="shared" si="1"/>
        <v>0</v>
      </c>
    </row>
    <row r="69" spans="1:63" s="9" customFormat="1" ht="12">
      <c r="A69" s="3" t="s">
        <v>111</v>
      </c>
      <c r="B69" s="3"/>
      <c r="C69" s="3" t="s">
        <v>18</v>
      </c>
      <c r="D69" s="3"/>
      <c r="E69" s="3">
        <v>162067.74</v>
      </c>
      <c r="F69" s="3"/>
      <c r="G69" s="3">
        <v>533445.15</v>
      </c>
      <c r="H69" s="3"/>
      <c r="I69" s="3">
        <v>32251.79</v>
      </c>
      <c r="J69" s="3"/>
      <c r="K69" s="3">
        <v>21996.76</v>
      </c>
      <c r="L69" s="3"/>
      <c r="M69" s="3">
        <v>0</v>
      </c>
      <c r="N69" s="3"/>
      <c r="O69" s="3">
        <v>24244.13</v>
      </c>
      <c r="P69" s="3"/>
      <c r="Q69" s="3">
        <v>8154.32</v>
      </c>
      <c r="R69" s="3"/>
      <c r="S69" s="3">
        <v>355.83</v>
      </c>
      <c r="T69" s="3"/>
      <c r="U69" s="3">
        <v>132</v>
      </c>
      <c r="V69" s="3"/>
      <c r="W69" s="3">
        <v>0</v>
      </c>
      <c r="X69" s="3"/>
      <c r="Y69" s="3">
        <v>0</v>
      </c>
      <c r="Z69" s="3"/>
      <c r="AA69" s="3">
        <v>0</v>
      </c>
      <c r="AB69" s="3"/>
      <c r="AC69" s="3">
        <f t="shared" si="1"/>
        <v>782647.72</v>
      </c>
      <c r="AD69" s="3"/>
      <c r="AE69" s="39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</row>
    <row r="70" spans="1:63" s="9" customFormat="1" ht="12">
      <c r="A70" s="3" t="s">
        <v>112</v>
      </c>
      <c r="B70" s="3"/>
      <c r="C70" s="3" t="s">
        <v>113</v>
      </c>
      <c r="D70" s="3"/>
      <c r="E70" s="3">
        <v>0</v>
      </c>
      <c r="F70" s="3"/>
      <c r="G70" s="3">
        <v>459882.36</v>
      </c>
      <c r="H70" s="3"/>
      <c r="I70" s="3">
        <v>0</v>
      </c>
      <c r="J70" s="3"/>
      <c r="K70" s="3">
        <v>13453.86</v>
      </c>
      <c r="L70" s="3"/>
      <c r="M70" s="3">
        <v>0</v>
      </c>
      <c r="N70" s="3"/>
      <c r="O70" s="3">
        <v>135</v>
      </c>
      <c r="P70" s="3"/>
      <c r="Q70" s="3">
        <v>16605.54</v>
      </c>
      <c r="R70" s="3"/>
      <c r="S70" s="3">
        <v>464.55</v>
      </c>
      <c r="T70" s="3"/>
      <c r="U70" s="3">
        <v>0</v>
      </c>
      <c r="V70" s="3"/>
      <c r="W70" s="3">
        <v>0</v>
      </c>
      <c r="X70" s="3"/>
      <c r="Y70" s="3">
        <v>0</v>
      </c>
      <c r="Z70" s="3"/>
      <c r="AA70" s="3">
        <v>0</v>
      </c>
      <c r="AB70" s="3"/>
      <c r="AC70" s="3">
        <f t="shared" si="1"/>
        <v>490541.30999999994</v>
      </c>
      <c r="AD70" s="3"/>
      <c r="AE70" s="39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</row>
    <row r="71" spans="1:29" s="9" customFormat="1" ht="12" hidden="1">
      <c r="A71" s="9" t="s">
        <v>142</v>
      </c>
      <c r="C71" s="9" t="s">
        <v>143</v>
      </c>
      <c r="E71" s="9">
        <v>0</v>
      </c>
      <c r="G71" s="9">
        <v>0</v>
      </c>
      <c r="I71" s="9">
        <v>0</v>
      </c>
      <c r="K71" s="9">
        <v>0</v>
      </c>
      <c r="M71" s="9">
        <v>0</v>
      </c>
      <c r="O71" s="9">
        <v>0</v>
      </c>
      <c r="Q71" s="9">
        <v>0</v>
      </c>
      <c r="S71" s="9">
        <v>0</v>
      </c>
      <c r="U71" s="9">
        <v>0</v>
      </c>
      <c r="W71" s="9">
        <v>0</v>
      </c>
      <c r="Y71" s="9">
        <v>0</v>
      </c>
      <c r="AA71" s="9">
        <v>0</v>
      </c>
      <c r="AC71" s="9">
        <f t="shared" si="1"/>
        <v>0</v>
      </c>
    </row>
    <row r="72" spans="1:63" s="9" customFormat="1" ht="12">
      <c r="A72" s="3" t="s">
        <v>114</v>
      </c>
      <c r="B72" s="3"/>
      <c r="C72" s="3" t="s">
        <v>26</v>
      </c>
      <c r="D72" s="3"/>
      <c r="E72" s="3">
        <v>252283.12</v>
      </c>
      <c r="F72" s="3"/>
      <c r="G72" s="3">
        <v>610640.63</v>
      </c>
      <c r="H72" s="3"/>
      <c r="I72" s="3">
        <v>10000</v>
      </c>
      <c r="J72" s="3"/>
      <c r="K72" s="3">
        <v>21533.24</v>
      </c>
      <c r="L72" s="3"/>
      <c r="M72" s="3">
        <v>0</v>
      </c>
      <c r="N72" s="3"/>
      <c r="O72" s="3">
        <v>1790</v>
      </c>
      <c r="P72" s="3"/>
      <c r="Q72" s="3">
        <v>14448.73</v>
      </c>
      <c r="R72" s="3"/>
      <c r="S72" s="3">
        <v>391.3</v>
      </c>
      <c r="T72" s="3"/>
      <c r="U72" s="3">
        <v>0</v>
      </c>
      <c r="V72" s="3"/>
      <c r="W72" s="3">
        <v>150000</v>
      </c>
      <c r="X72" s="3"/>
      <c r="Y72" s="3">
        <v>0</v>
      </c>
      <c r="Z72" s="3"/>
      <c r="AA72" s="3">
        <v>0</v>
      </c>
      <c r="AB72" s="3"/>
      <c r="AC72" s="3">
        <f t="shared" si="1"/>
        <v>1061087.02</v>
      </c>
      <c r="AD72" s="3"/>
      <c r="AE72" s="39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</row>
    <row r="73" spans="1:29" s="9" customFormat="1" ht="12" hidden="1">
      <c r="A73" s="9" t="s">
        <v>145</v>
      </c>
      <c r="C73" s="9" t="s">
        <v>54</v>
      </c>
      <c r="E73" s="9">
        <v>0</v>
      </c>
      <c r="G73" s="9">
        <v>0</v>
      </c>
      <c r="I73" s="9">
        <v>0</v>
      </c>
      <c r="K73" s="9">
        <v>0</v>
      </c>
      <c r="M73" s="9">
        <v>0</v>
      </c>
      <c r="O73" s="9">
        <v>0</v>
      </c>
      <c r="Q73" s="9">
        <v>0</v>
      </c>
      <c r="S73" s="9">
        <v>0</v>
      </c>
      <c r="U73" s="9">
        <v>0</v>
      </c>
      <c r="W73" s="9">
        <v>0</v>
      </c>
      <c r="Y73" s="9">
        <v>0</v>
      </c>
      <c r="AA73" s="9">
        <v>0</v>
      </c>
      <c r="AC73" s="9">
        <f aca="true" t="shared" si="2" ref="AC73:AC104">SUM(E73:AA73)</f>
        <v>0</v>
      </c>
    </row>
    <row r="74" spans="1:29" s="9" customFormat="1" ht="12">
      <c r="A74" s="9" t="s">
        <v>115</v>
      </c>
      <c r="C74" s="9" t="s">
        <v>71</v>
      </c>
      <c r="E74" s="3">
        <v>0</v>
      </c>
      <c r="F74" s="3"/>
      <c r="G74" s="3">
        <v>271843</v>
      </c>
      <c r="H74" s="3"/>
      <c r="I74" s="3">
        <v>0</v>
      </c>
      <c r="J74" s="3"/>
      <c r="K74" s="3">
        <v>8062</v>
      </c>
      <c r="L74" s="3"/>
      <c r="M74" s="3">
        <v>0</v>
      </c>
      <c r="N74" s="3"/>
      <c r="O74" s="3">
        <v>1776</v>
      </c>
      <c r="P74" s="3"/>
      <c r="Q74" s="3">
        <v>6294</v>
      </c>
      <c r="R74" s="3"/>
      <c r="S74" s="3">
        <v>4066</v>
      </c>
      <c r="T74" s="3"/>
      <c r="U74" s="3">
        <v>391</v>
      </c>
      <c r="V74" s="3"/>
      <c r="W74" s="3">
        <v>0</v>
      </c>
      <c r="X74" s="3"/>
      <c r="Y74" s="3">
        <v>0</v>
      </c>
      <c r="Z74" s="3"/>
      <c r="AA74" s="3">
        <v>0</v>
      </c>
      <c r="AC74" s="9">
        <f t="shared" si="2"/>
        <v>292432</v>
      </c>
    </row>
    <row r="75" spans="1:29" s="9" customFormat="1" ht="12">
      <c r="A75" s="9" t="s">
        <v>116</v>
      </c>
      <c r="C75" s="9" t="s">
        <v>54</v>
      </c>
      <c r="E75" s="3">
        <v>0</v>
      </c>
      <c r="F75" s="3"/>
      <c r="G75" s="3">
        <v>812179</v>
      </c>
      <c r="H75" s="3"/>
      <c r="I75" s="3">
        <v>0</v>
      </c>
      <c r="J75" s="3"/>
      <c r="K75" s="3">
        <v>8008</v>
      </c>
      <c r="L75" s="3"/>
      <c r="M75" s="3">
        <v>0</v>
      </c>
      <c r="N75" s="3"/>
      <c r="O75" s="3">
        <v>2340</v>
      </c>
      <c r="P75" s="3"/>
      <c r="Q75" s="3">
        <v>8780</v>
      </c>
      <c r="R75" s="3"/>
      <c r="S75" s="3">
        <v>18161</v>
      </c>
      <c r="T75" s="3"/>
      <c r="U75" s="3">
        <v>0</v>
      </c>
      <c r="V75" s="3"/>
      <c r="W75" s="3">
        <v>50000</v>
      </c>
      <c r="X75" s="3"/>
      <c r="Y75" s="3">
        <v>0</v>
      </c>
      <c r="Z75" s="3"/>
      <c r="AA75" s="3">
        <v>0</v>
      </c>
      <c r="AC75" s="9">
        <f t="shared" si="2"/>
        <v>899468</v>
      </c>
    </row>
    <row r="76" spans="1:29" s="9" customFormat="1" ht="12">
      <c r="A76" s="9" t="s">
        <v>116</v>
      </c>
      <c r="C76" s="9" t="s">
        <v>117</v>
      </c>
      <c r="E76" s="3">
        <v>0</v>
      </c>
      <c r="F76" s="3"/>
      <c r="G76" s="3">
        <v>1049951</v>
      </c>
      <c r="H76" s="3"/>
      <c r="I76" s="3">
        <v>0</v>
      </c>
      <c r="J76" s="3"/>
      <c r="K76" s="3">
        <v>22074</v>
      </c>
      <c r="L76" s="3"/>
      <c r="M76" s="3">
        <v>0</v>
      </c>
      <c r="N76" s="3"/>
      <c r="O76" s="3">
        <v>2334</v>
      </c>
      <c r="P76" s="3"/>
      <c r="Q76" s="3">
        <v>72848</v>
      </c>
      <c r="R76" s="3"/>
      <c r="S76" s="3">
        <v>3357</v>
      </c>
      <c r="T76" s="3"/>
      <c r="U76" s="3">
        <v>0</v>
      </c>
      <c r="V76" s="3"/>
      <c r="W76" s="3">
        <v>100000</v>
      </c>
      <c r="X76" s="3"/>
      <c r="Y76" s="3">
        <v>0</v>
      </c>
      <c r="AA76" s="9">
        <v>0</v>
      </c>
      <c r="AC76" s="9">
        <f t="shared" si="2"/>
        <v>1250564</v>
      </c>
    </row>
    <row r="77" spans="1:29" s="9" customFormat="1" ht="12" hidden="1">
      <c r="A77" s="9" t="s">
        <v>147</v>
      </c>
      <c r="C77" s="9" t="s">
        <v>45</v>
      </c>
      <c r="E77" s="9">
        <v>0</v>
      </c>
      <c r="G77" s="9">
        <v>0</v>
      </c>
      <c r="I77" s="9">
        <v>0</v>
      </c>
      <c r="K77" s="9">
        <v>0</v>
      </c>
      <c r="M77" s="9">
        <v>0</v>
      </c>
      <c r="O77" s="9">
        <v>0</v>
      </c>
      <c r="Q77" s="9">
        <v>0</v>
      </c>
      <c r="S77" s="9">
        <v>0</v>
      </c>
      <c r="U77" s="9">
        <v>0</v>
      </c>
      <c r="W77" s="9">
        <v>0</v>
      </c>
      <c r="Y77" s="9">
        <v>0</v>
      </c>
      <c r="AA77" s="9">
        <v>0</v>
      </c>
      <c r="AC77" s="9">
        <f t="shared" si="2"/>
        <v>0</v>
      </c>
    </row>
    <row r="78" spans="1:63" s="9" customFormat="1" ht="12">
      <c r="A78" s="3" t="s">
        <v>118</v>
      </c>
      <c r="B78" s="3"/>
      <c r="C78" s="3" t="s">
        <v>51</v>
      </c>
      <c r="D78" s="3"/>
      <c r="E78" s="3">
        <v>0</v>
      </c>
      <c r="F78" s="3"/>
      <c r="G78" s="3">
        <v>725663.06</v>
      </c>
      <c r="H78" s="3"/>
      <c r="I78" s="3">
        <v>0</v>
      </c>
      <c r="J78" s="3"/>
      <c r="K78" s="3">
        <v>26463.32</v>
      </c>
      <c r="L78" s="3"/>
      <c r="M78" s="3">
        <v>0</v>
      </c>
      <c r="N78" s="3"/>
      <c r="O78" s="3">
        <v>159047</v>
      </c>
      <c r="P78" s="3"/>
      <c r="Q78" s="3">
        <v>83731.61</v>
      </c>
      <c r="R78" s="3"/>
      <c r="S78" s="3">
        <v>11016.88</v>
      </c>
      <c r="T78" s="3"/>
      <c r="U78" s="3">
        <v>0</v>
      </c>
      <c r="V78" s="3"/>
      <c r="W78" s="3">
        <v>0</v>
      </c>
      <c r="X78" s="3"/>
      <c r="Y78" s="3">
        <v>0</v>
      </c>
      <c r="Z78" s="3"/>
      <c r="AA78" s="3">
        <v>46577.62</v>
      </c>
      <c r="AB78" s="3"/>
      <c r="AC78" s="3">
        <f t="shared" si="2"/>
        <v>1052499.49</v>
      </c>
      <c r="AD78" s="3"/>
      <c r="AE78" s="39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</row>
    <row r="79" spans="1:29" s="9" customFormat="1" ht="12">
      <c r="A79" s="9" t="s">
        <v>119</v>
      </c>
      <c r="C79" s="9" t="s">
        <v>17</v>
      </c>
      <c r="E79" s="3">
        <v>0</v>
      </c>
      <c r="F79" s="3"/>
      <c r="G79" s="3">
        <v>283691</v>
      </c>
      <c r="H79" s="3"/>
      <c r="I79" s="3">
        <v>0</v>
      </c>
      <c r="J79" s="3"/>
      <c r="K79" s="3">
        <v>6475</v>
      </c>
      <c r="L79" s="3"/>
      <c r="M79" s="3">
        <v>0</v>
      </c>
      <c r="N79" s="3"/>
      <c r="O79" s="3">
        <v>539</v>
      </c>
      <c r="P79" s="3"/>
      <c r="Q79" s="3">
        <v>46373</v>
      </c>
      <c r="R79" s="3"/>
      <c r="S79" s="3">
        <v>13</v>
      </c>
      <c r="T79" s="3"/>
      <c r="U79" s="9">
        <v>0</v>
      </c>
      <c r="W79" s="9">
        <v>0</v>
      </c>
      <c r="Y79" s="9">
        <v>0</v>
      </c>
      <c r="AA79" s="9">
        <v>0</v>
      </c>
      <c r="AC79" s="9">
        <f t="shared" si="2"/>
        <v>337091</v>
      </c>
    </row>
    <row r="80" spans="1:29" s="9" customFormat="1" ht="12">
      <c r="A80" s="9" t="s">
        <v>120</v>
      </c>
      <c r="C80" s="9" t="s">
        <v>65</v>
      </c>
      <c r="E80" s="3">
        <v>128588</v>
      </c>
      <c r="F80" s="3"/>
      <c r="G80" s="3">
        <v>731724</v>
      </c>
      <c r="H80" s="3"/>
      <c r="I80" s="3">
        <v>0</v>
      </c>
      <c r="J80" s="3"/>
      <c r="K80" s="3">
        <v>43309</v>
      </c>
      <c r="L80" s="3"/>
      <c r="M80" s="3">
        <v>0</v>
      </c>
      <c r="N80" s="3"/>
      <c r="O80" s="3">
        <v>1053</v>
      </c>
      <c r="P80" s="3"/>
      <c r="Q80" s="3">
        <v>24533</v>
      </c>
      <c r="R80" s="3"/>
      <c r="S80" s="3">
        <v>3530</v>
      </c>
      <c r="T80" s="3"/>
      <c r="U80" s="3">
        <v>0</v>
      </c>
      <c r="V80" s="3"/>
      <c r="W80" s="3">
        <v>40000</v>
      </c>
      <c r="X80" s="3"/>
      <c r="Y80" s="3">
        <v>0</v>
      </c>
      <c r="Z80" s="3"/>
      <c r="AA80" s="3">
        <v>0</v>
      </c>
      <c r="AC80" s="9">
        <f t="shared" si="2"/>
        <v>972737</v>
      </c>
    </row>
    <row r="81" spans="1:29" s="9" customFormat="1" ht="12" hidden="1">
      <c r="A81" s="9" t="s">
        <v>151</v>
      </c>
      <c r="C81" s="9" t="s">
        <v>56</v>
      </c>
      <c r="E81" s="9">
        <v>0</v>
      </c>
      <c r="G81" s="9">
        <v>0</v>
      </c>
      <c r="I81" s="9">
        <v>0</v>
      </c>
      <c r="K81" s="9">
        <v>0</v>
      </c>
      <c r="M81" s="9">
        <v>0</v>
      </c>
      <c r="O81" s="9">
        <v>0</v>
      </c>
      <c r="Q81" s="9">
        <v>0</v>
      </c>
      <c r="S81" s="9">
        <v>0</v>
      </c>
      <c r="U81" s="9">
        <v>0</v>
      </c>
      <c r="W81" s="9">
        <v>0</v>
      </c>
      <c r="Y81" s="9">
        <v>0</v>
      </c>
      <c r="AA81" s="9">
        <v>0</v>
      </c>
      <c r="AC81" s="9">
        <f t="shared" si="2"/>
        <v>0</v>
      </c>
    </row>
    <row r="82" spans="1:29" s="9" customFormat="1" ht="12" hidden="1">
      <c r="A82" s="9" t="s">
        <v>152</v>
      </c>
      <c r="C82" s="9" t="s">
        <v>64</v>
      </c>
      <c r="E82" s="9">
        <v>0</v>
      </c>
      <c r="G82" s="9">
        <v>0</v>
      </c>
      <c r="I82" s="9">
        <v>0</v>
      </c>
      <c r="K82" s="9">
        <v>0</v>
      </c>
      <c r="M82" s="9">
        <v>0</v>
      </c>
      <c r="O82" s="9">
        <v>0</v>
      </c>
      <c r="Q82" s="9">
        <v>0</v>
      </c>
      <c r="S82" s="9">
        <v>0</v>
      </c>
      <c r="U82" s="9">
        <v>0</v>
      </c>
      <c r="W82" s="9">
        <v>0</v>
      </c>
      <c r="Y82" s="9">
        <v>0</v>
      </c>
      <c r="AA82" s="9">
        <v>0</v>
      </c>
      <c r="AC82" s="9">
        <f t="shared" si="2"/>
        <v>0</v>
      </c>
    </row>
    <row r="83" spans="1:63" s="9" customFormat="1" ht="12">
      <c r="A83" s="3" t="s">
        <v>121</v>
      </c>
      <c r="B83" s="3"/>
      <c r="C83" s="3" t="s">
        <v>52</v>
      </c>
      <c r="D83" s="3"/>
      <c r="E83" s="3">
        <v>0</v>
      </c>
      <c r="F83" s="3"/>
      <c r="G83" s="3">
        <v>2678639.67</v>
      </c>
      <c r="H83" s="3"/>
      <c r="I83" s="3">
        <v>1874</v>
      </c>
      <c r="J83" s="3"/>
      <c r="K83" s="3">
        <v>67979.55</v>
      </c>
      <c r="L83" s="3"/>
      <c r="M83" s="3">
        <v>0</v>
      </c>
      <c r="N83" s="3"/>
      <c r="O83" s="3">
        <v>64644.49</v>
      </c>
      <c r="P83" s="3"/>
      <c r="Q83" s="3">
        <v>43839.8</v>
      </c>
      <c r="R83" s="3"/>
      <c r="S83" s="3">
        <v>20185.4</v>
      </c>
      <c r="T83" s="3"/>
      <c r="U83" s="3">
        <v>0</v>
      </c>
      <c r="V83" s="3"/>
      <c r="W83" s="3">
        <v>0</v>
      </c>
      <c r="X83" s="3"/>
      <c r="Y83" s="3">
        <v>0</v>
      </c>
      <c r="Z83" s="3"/>
      <c r="AA83" s="3">
        <v>0</v>
      </c>
      <c r="AB83" s="3"/>
      <c r="AC83" s="3">
        <f t="shared" si="2"/>
        <v>2877162.9099999997</v>
      </c>
      <c r="AD83" s="3"/>
      <c r="AE83" s="39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</row>
    <row r="84" spans="1:29" s="9" customFormat="1" ht="12" hidden="1">
      <c r="A84" s="9" t="s">
        <v>154</v>
      </c>
      <c r="C84" s="9" t="s">
        <v>57</v>
      </c>
      <c r="E84" s="9">
        <v>0</v>
      </c>
      <c r="G84" s="9">
        <v>0</v>
      </c>
      <c r="I84" s="9">
        <v>0</v>
      </c>
      <c r="K84" s="9">
        <v>0</v>
      </c>
      <c r="M84" s="9">
        <v>0</v>
      </c>
      <c r="O84" s="9">
        <v>0</v>
      </c>
      <c r="Q84" s="9">
        <v>0</v>
      </c>
      <c r="S84" s="9">
        <v>0</v>
      </c>
      <c r="U84" s="9">
        <v>0</v>
      </c>
      <c r="W84" s="9">
        <v>0</v>
      </c>
      <c r="Y84" s="9">
        <v>0</v>
      </c>
      <c r="AA84" s="9">
        <v>0</v>
      </c>
      <c r="AC84" s="9">
        <f t="shared" si="2"/>
        <v>0</v>
      </c>
    </row>
    <row r="85" spans="1:29" s="9" customFormat="1" ht="12" hidden="1">
      <c r="A85" s="9" t="s">
        <v>155</v>
      </c>
      <c r="C85" s="9" t="s">
        <v>55</v>
      </c>
      <c r="E85" s="9">
        <v>0</v>
      </c>
      <c r="G85" s="9">
        <v>0</v>
      </c>
      <c r="I85" s="9">
        <v>0</v>
      </c>
      <c r="K85" s="9">
        <v>0</v>
      </c>
      <c r="M85" s="9">
        <v>0</v>
      </c>
      <c r="O85" s="9">
        <v>0</v>
      </c>
      <c r="Q85" s="9">
        <v>0</v>
      </c>
      <c r="S85" s="9">
        <v>0</v>
      </c>
      <c r="U85" s="9">
        <v>0</v>
      </c>
      <c r="W85" s="9">
        <v>0</v>
      </c>
      <c r="Y85" s="9">
        <v>0</v>
      </c>
      <c r="AA85" s="9">
        <v>0</v>
      </c>
      <c r="AC85" s="9">
        <f t="shared" si="2"/>
        <v>0</v>
      </c>
    </row>
    <row r="86" spans="1:29" s="9" customFormat="1" ht="12">
      <c r="A86" s="9" t="s">
        <v>122</v>
      </c>
      <c r="C86" s="9" t="s">
        <v>123</v>
      </c>
      <c r="E86" s="3">
        <v>507</v>
      </c>
      <c r="F86" s="3"/>
      <c r="G86" s="3">
        <v>4914429</v>
      </c>
      <c r="H86" s="3"/>
      <c r="I86" s="3">
        <v>0</v>
      </c>
      <c r="J86" s="3"/>
      <c r="K86" s="3">
        <v>105754</v>
      </c>
      <c r="L86" s="3"/>
      <c r="M86" s="3">
        <v>2352</v>
      </c>
      <c r="N86" s="3"/>
      <c r="O86" s="3">
        <v>85446</v>
      </c>
      <c r="P86" s="3"/>
      <c r="Q86" s="3">
        <v>404212</v>
      </c>
      <c r="R86" s="3"/>
      <c r="S86" s="3">
        <v>61544</v>
      </c>
      <c r="T86" s="3"/>
      <c r="U86" s="3">
        <v>0</v>
      </c>
      <c r="V86" s="3"/>
      <c r="W86" s="3">
        <v>957406</v>
      </c>
      <c r="X86" s="3"/>
      <c r="Y86" s="3">
        <v>0</v>
      </c>
      <c r="Z86" s="3"/>
      <c r="AA86" s="3">
        <v>6630</v>
      </c>
      <c r="AC86" s="9">
        <f t="shared" si="2"/>
        <v>6538280</v>
      </c>
    </row>
    <row r="87" spans="1:63" s="9" customFormat="1" ht="12">
      <c r="A87" s="3" t="s">
        <v>347</v>
      </c>
      <c r="B87" s="3"/>
      <c r="C87" s="3" t="s">
        <v>27</v>
      </c>
      <c r="D87" s="3"/>
      <c r="E87" s="3">
        <v>0</v>
      </c>
      <c r="F87" s="3"/>
      <c r="G87" s="3">
        <v>453301.31</v>
      </c>
      <c r="H87" s="3"/>
      <c r="I87" s="3">
        <v>3200</v>
      </c>
      <c r="J87" s="3"/>
      <c r="K87" s="3">
        <v>7761.33</v>
      </c>
      <c r="L87" s="3"/>
      <c r="M87" s="3">
        <v>0</v>
      </c>
      <c r="N87" s="3"/>
      <c r="O87" s="3">
        <v>2326.78</v>
      </c>
      <c r="P87" s="3"/>
      <c r="Q87" s="3">
        <v>36698.48</v>
      </c>
      <c r="R87" s="3"/>
      <c r="S87" s="3">
        <v>1464.61</v>
      </c>
      <c r="T87" s="3"/>
      <c r="U87" s="3">
        <v>0</v>
      </c>
      <c r="V87" s="3"/>
      <c r="W87" s="3">
        <v>0</v>
      </c>
      <c r="X87" s="3"/>
      <c r="Y87" s="3">
        <v>0</v>
      </c>
      <c r="Z87" s="3"/>
      <c r="AA87" s="3">
        <v>0</v>
      </c>
      <c r="AB87" s="3"/>
      <c r="AC87" s="3">
        <f t="shared" si="2"/>
        <v>504752.51</v>
      </c>
      <c r="AD87" s="3"/>
      <c r="AE87" s="39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</row>
    <row r="88" spans="1:29" s="9" customFormat="1" ht="12" hidden="1">
      <c r="A88" s="9" t="s">
        <v>159</v>
      </c>
      <c r="C88" s="9" t="s">
        <v>58</v>
      </c>
      <c r="E88" s="9">
        <v>0</v>
      </c>
      <c r="G88" s="9">
        <v>0</v>
      </c>
      <c r="I88" s="9">
        <v>0</v>
      </c>
      <c r="K88" s="9">
        <v>0</v>
      </c>
      <c r="M88" s="9">
        <v>0</v>
      </c>
      <c r="O88" s="9">
        <v>0</v>
      </c>
      <c r="Q88" s="9">
        <v>0</v>
      </c>
      <c r="S88" s="9">
        <v>0</v>
      </c>
      <c r="U88" s="9">
        <v>0</v>
      </c>
      <c r="W88" s="9">
        <v>0</v>
      </c>
      <c r="Y88" s="9">
        <v>0</v>
      </c>
      <c r="AA88" s="9">
        <v>0</v>
      </c>
      <c r="AC88" s="9">
        <f t="shared" si="2"/>
        <v>0</v>
      </c>
    </row>
    <row r="89" spans="1:29" s="9" customFormat="1" ht="12" hidden="1">
      <c r="A89" s="9" t="s">
        <v>37</v>
      </c>
      <c r="C89" s="9" t="s">
        <v>59</v>
      </c>
      <c r="E89" s="9">
        <v>0</v>
      </c>
      <c r="G89" s="9">
        <v>0</v>
      </c>
      <c r="I89" s="9">
        <v>0</v>
      </c>
      <c r="K89" s="9">
        <v>0</v>
      </c>
      <c r="M89" s="9">
        <v>0</v>
      </c>
      <c r="O89" s="9">
        <v>0</v>
      </c>
      <c r="Q89" s="9">
        <v>0</v>
      </c>
      <c r="S89" s="9">
        <v>0</v>
      </c>
      <c r="U89" s="9">
        <v>0</v>
      </c>
      <c r="W89" s="9">
        <v>0</v>
      </c>
      <c r="Y89" s="9">
        <v>0</v>
      </c>
      <c r="AA89" s="9">
        <v>0</v>
      </c>
      <c r="AC89" s="9">
        <f t="shared" si="2"/>
        <v>0</v>
      </c>
    </row>
    <row r="90" spans="1:29" s="9" customFormat="1" ht="12" hidden="1">
      <c r="A90" s="9" t="s">
        <v>38</v>
      </c>
      <c r="C90" s="9" t="s">
        <v>27</v>
      </c>
      <c r="E90" s="9">
        <v>0</v>
      </c>
      <c r="G90" s="9">
        <v>0</v>
      </c>
      <c r="I90" s="9">
        <v>0</v>
      </c>
      <c r="K90" s="9">
        <v>0</v>
      </c>
      <c r="M90" s="9">
        <v>0</v>
      </c>
      <c r="O90" s="9">
        <v>0</v>
      </c>
      <c r="Q90" s="9">
        <v>0</v>
      </c>
      <c r="S90" s="9">
        <v>0</v>
      </c>
      <c r="U90" s="9">
        <v>0</v>
      </c>
      <c r="W90" s="9">
        <v>0</v>
      </c>
      <c r="Y90" s="9">
        <v>0</v>
      </c>
      <c r="AA90" s="9">
        <v>0</v>
      </c>
      <c r="AC90" s="9">
        <f t="shared" si="2"/>
        <v>0</v>
      </c>
    </row>
    <row r="91" spans="1:29" s="9" customFormat="1" ht="12" hidden="1">
      <c r="A91" s="9" t="s">
        <v>160</v>
      </c>
      <c r="C91" s="9" t="s">
        <v>60</v>
      </c>
      <c r="E91" s="9">
        <v>0</v>
      </c>
      <c r="G91" s="9">
        <v>0</v>
      </c>
      <c r="I91" s="9">
        <v>0</v>
      </c>
      <c r="K91" s="9">
        <v>0</v>
      </c>
      <c r="M91" s="9">
        <v>0</v>
      </c>
      <c r="O91" s="9">
        <v>0</v>
      </c>
      <c r="Q91" s="9">
        <v>0</v>
      </c>
      <c r="S91" s="9">
        <v>0</v>
      </c>
      <c r="U91" s="9">
        <v>0</v>
      </c>
      <c r="W91" s="9">
        <v>0</v>
      </c>
      <c r="Y91" s="9">
        <v>0</v>
      </c>
      <c r="AA91" s="9">
        <v>0</v>
      </c>
      <c r="AC91" s="9">
        <f t="shared" si="2"/>
        <v>0</v>
      </c>
    </row>
    <row r="92" spans="1:29" s="9" customFormat="1" ht="12" hidden="1">
      <c r="A92" s="9" t="s">
        <v>161</v>
      </c>
      <c r="C92" s="9" t="s">
        <v>46</v>
      </c>
      <c r="E92" s="9">
        <v>0</v>
      </c>
      <c r="G92" s="9">
        <v>0</v>
      </c>
      <c r="I92" s="9">
        <v>0</v>
      </c>
      <c r="K92" s="9">
        <v>0</v>
      </c>
      <c r="M92" s="9">
        <v>0</v>
      </c>
      <c r="O92" s="9">
        <v>0</v>
      </c>
      <c r="Q92" s="9">
        <v>0</v>
      </c>
      <c r="S92" s="9">
        <v>0</v>
      </c>
      <c r="U92" s="9">
        <v>0</v>
      </c>
      <c r="W92" s="9">
        <v>0</v>
      </c>
      <c r="Y92" s="9">
        <v>0</v>
      </c>
      <c r="AA92" s="9">
        <v>0</v>
      </c>
      <c r="AC92" s="9">
        <f t="shared" si="2"/>
        <v>0</v>
      </c>
    </row>
    <row r="93" spans="1:29" s="9" customFormat="1" ht="12">
      <c r="A93" s="9" t="s">
        <v>125</v>
      </c>
      <c r="C93" s="9" t="s">
        <v>126</v>
      </c>
      <c r="E93" s="3">
        <v>1366777</v>
      </c>
      <c r="F93" s="3"/>
      <c r="G93" s="3">
        <v>0</v>
      </c>
      <c r="H93" s="3"/>
      <c r="I93" s="3">
        <v>5996802</v>
      </c>
      <c r="J93" s="3"/>
      <c r="K93" s="3">
        <v>336842</v>
      </c>
      <c r="L93" s="3"/>
      <c r="M93" s="3">
        <v>0</v>
      </c>
      <c r="N93" s="3"/>
      <c r="O93" s="3">
        <v>28579</v>
      </c>
      <c r="P93" s="3"/>
      <c r="Q93" s="3">
        <v>298470</v>
      </c>
      <c r="R93" s="3"/>
      <c r="S93" s="3">
        <v>67977</v>
      </c>
      <c r="T93" s="3"/>
      <c r="U93" s="3">
        <v>0</v>
      </c>
      <c r="V93" s="3"/>
      <c r="W93" s="3">
        <v>398789</v>
      </c>
      <c r="X93" s="3"/>
      <c r="Y93" s="3">
        <v>41368</v>
      </c>
      <c r="Z93" s="3"/>
      <c r="AA93" s="3">
        <v>6155</v>
      </c>
      <c r="AC93" s="9">
        <f t="shared" si="2"/>
        <v>8541759</v>
      </c>
    </row>
    <row r="94" spans="1:29" s="9" customFormat="1" ht="12">
      <c r="A94" s="9" t="s">
        <v>483</v>
      </c>
      <c r="C94" s="9" t="s">
        <v>20</v>
      </c>
      <c r="E94" s="3">
        <v>4537452</v>
      </c>
      <c r="F94" s="3"/>
      <c r="G94" s="3">
        <v>0</v>
      </c>
      <c r="H94" s="3"/>
      <c r="I94" s="3">
        <v>3151813</v>
      </c>
      <c r="J94" s="3"/>
      <c r="K94" s="3">
        <v>123751</v>
      </c>
      <c r="L94" s="3"/>
      <c r="M94" s="3">
        <v>20947</v>
      </c>
      <c r="N94" s="3"/>
      <c r="O94" s="3">
        <v>3206</v>
      </c>
      <c r="P94" s="3"/>
      <c r="Q94" s="3">
        <v>161878</v>
      </c>
      <c r="R94" s="3"/>
      <c r="S94" s="3">
        <v>90942</v>
      </c>
      <c r="T94" s="3"/>
      <c r="U94" s="3">
        <v>0</v>
      </c>
      <c r="V94" s="3"/>
      <c r="W94" s="3">
        <v>612489</v>
      </c>
      <c r="X94" s="3"/>
      <c r="Y94" s="3">
        <v>0</v>
      </c>
      <c r="Z94" s="3"/>
      <c r="AA94" s="3">
        <v>127819</v>
      </c>
      <c r="AC94" s="9">
        <f t="shared" si="2"/>
        <v>8830297</v>
      </c>
    </row>
    <row r="95" spans="1:29" s="9" customFormat="1" ht="12">
      <c r="A95" s="9" t="s">
        <v>484</v>
      </c>
      <c r="C95" s="9" t="s">
        <v>20</v>
      </c>
      <c r="E95" s="3">
        <v>29671069</v>
      </c>
      <c r="F95" s="3"/>
      <c r="G95" s="3">
        <v>0</v>
      </c>
      <c r="H95" s="3"/>
      <c r="I95" s="3">
        <v>33293584</v>
      </c>
      <c r="J95" s="3"/>
      <c r="K95" s="3">
        <f>2965073+366567</f>
        <v>3331640</v>
      </c>
      <c r="L95" s="3"/>
      <c r="M95" s="3">
        <v>0</v>
      </c>
      <c r="N95" s="3"/>
      <c r="O95" s="3">
        <v>539002</v>
      </c>
      <c r="P95" s="3"/>
      <c r="Q95" s="3">
        <v>3395179</v>
      </c>
      <c r="R95" s="3"/>
      <c r="S95" s="3">
        <v>253373</v>
      </c>
      <c r="U95" s="9">
        <v>0</v>
      </c>
      <c r="W95" s="9">
        <v>3003575</v>
      </c>
      <c r="Y95" s="9">
        <v>0</v>
      </c>
      <c r="AA95" s="9">
        <v>0</v>
      </c>
      <c r="AC95" s="9">
        <f t="shared" si="2"/>
        <v>73487422</v>
      </c>
    </row>
    <row r="96" spans="1:29" s="9" customFormat="1" ht="12" hidden="1">
      <c r="A96" s="9" t="s">
        <v>166</v>
      </c>
      <c r="C96" s="9" t="s">
        <v>84</v>
      </c>
      <c r="E96" s="9">
        <v>0</v>
      </c>
      <c r="G96" s="9">
        <v>0</v>
      </c>
      <c r="I96" s="9">
        <v>0</v>
      </c>
      <c r="K96" s="9">
        <v>0</v>
      </c>
      <c r="M96" s="9">
        <v>0</v>
      </c>
      <c r="O96" s="9">
        <v>0</v>
      </c>
      <c r="Q96" s="9">
        <v>0</v>
      </c>
      <c r="S96" s="9">
        <v>0</v>
      </c>
      <c r="U96" s="9">
        <v>0</v>
      </c>
      <c r="W96" s="9">
        <v>0</v>
      </c>
      <c r="Y96" s="9">
        <v>0</v>
      </c>
      <c r="AA96" s="9">
        <v>0</v>
      </c>
      <c r="AC96" s="9">
        <f t="shared" si="2"/>
        <v>0</v>
      </c>
    </row>
    <row r="97" spans="1:63" s="9" customFormat="1" ht="12">
      <c r="A97" s="3" t="s">
        <v>516</v>
      </c>
      <c r="B97" s="3"/>
      <c r="C97" s="3" t="s">
        <v>100</v>
      </c>
      <c r="D97" s="3"/>
      <c r="E97" s="3">
        <v>211356.49</v>
      </c>
      <c r="F97" s="3"/>
      <c r="G97" s="3">
        <v>352357.38</v>
      </c>
      <c r="H97" s="3"/>
      <c r="I97" s="3">
        <v>12976.43</v>
      </c>
      <c r="J97" s="3"/>
      <c r="K97" s="3">
        <v>16950.58</v>
      </c>
      <c r="L97" s="3"/>
      <c r="M97" s="3">
        <v>0</v>
      </c>
      <c r="N97" s="3"/>
      <c r="O97" s="3">
        <v>62159.8</v>
      </c>
      <c r="P97" s="3"/>
      <c r="Q97" s="3">
        <v>22786.28</v>
      </c>
      <c r="R97" s="3"/>
      <c r="S97" s="3">
        <v>2406.08</v>
      </c>
      <c r="T97" s="3"/>
      <c r="U97" s="3">
        <v>0</v>
      </c>
      <c r="V97" s="3"/>
      <c r="W97" s="3">
        <v>75589.66</v>
      </c>
      <c r="X97" s="3"/>
      <c r="Y97" s="3">
        <v>0</v>
      </c>
      <c r="Z97" s="3"/>
      <c r="AA97" s="3">
        <v>0</v>
      </c>
      <c r="AB97" s="3"/>
      <c r="AC97" s="3">
        <f t="shared" si="2"/>
        <v>756582.7000000001</v>
      </c>
      <c r="AD97" s="3"/>
      <c r="AE97" s="39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</row>
    <row r="98" spans="1:29" s="9" customFormat="1" ht="12" hidden="1">
      <c r="A98" s="9" t="s">
        <v>169</v>
      </c>
      <c r="C98" s="9" t="s">
        <v>46</v>
      </c>
      <c r="E98" s="9">
        <v>0</v>
      </c>
      <c r="G98" s="9">
        <v>0</v>
      </c>
      <c r="I98" s="9">
        <v>0</v>
      </c>
      <c r="K98" s="9">
        <v>0</v>
      </c>
      <c r="M98" s="9">
        <v>0</v>
      </c>
      <c r="O98" s="9">
        <v>0</v>
      </c>
      <c r="Q98" s="9">
        <v>0</v>
      </c>
      <c r="S98" s="9">
        <v>0</v>
      </c>
      <c r="U98" s="9">
        <v>0</v>
      </c>
      <c r="W98" s="9">
        <v>0</v>
      </c>
      <c r="Y98" s="9">
        <v>0</v>
      </c>
      <c r="AA98" s="9">
        <v>0</v>
      </c>
      <c r="AC98" s="9">
        <f t="shared" si="2"/>
        <v>0</v>
      </c>
    </row>
    <row r="99" spans="1:63" s="9" customFormat="1" ht="12">
      <c r="A99" s="3" t="s">
        <v>578</v>
      </c>
      <c r="B99" s="3"/>
      <c r="C99" s="3" t="s">
        <v>53</v>
      </c>
      <c r="D99" s="3"/>
      <c r="E99" s="3">
        <v>0</v>
      </c>
      <c r="F99" s="3"/>
      <c r="G99" s="3">
        <v>256789.93</v>
      </c>
      <c r="H99" s="3"/>
      <c r="I99" s="3">
        <v>0</v>
      </c>
      <c r="J99" s="3"/>
      <c r="K99" s="3">
        <v>8024.06</v>
      </c>
      <c r="L99" s="3"/>
      <c r="M99" s="3">
        <v>0</v>
      </c>
      <c r="N99" s="3"/>
      <c r="O99" s="3">
        <v>2750</v>
      </c>
      <c r="P99" s="3"/>
      <c r="Q99" s="3">
        <v>4259.08</v>
      </c>
      <c r="R99" s="3"/>
      <c r="S99" s="3">
        <v>968</v>
      </c>
      <c r="T99" s="3"/>
      <c r="U99" s="3">
        <v>1152.51</v>
      </c>
      <c r="V99" s="3"/>
      <c r="W99" s="3">
        <v>0</v>
      </c>
      <c r="X99" s="3"/>
      <c r="Y99" s="3">
        <v>0</v>
      </c>
      <c r="Z99" s="3"/>
      <c r="AA99" s="3">
        <v>0</v>
      </c>
      <c r="AB99" s="3"/>
      <c r="AC99" s="3">
        <f t="shared" si="2"/>
        <v>273943.58</v>
      </c>
      <c r="AD99" s="3"/>
      <c r="AE99" s="39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</row>
    <row r="100" spans="1:63" s="9" customFormat="1" ht="12">
      <c r="A100" s="3" t="s">
        <v>518</v>
      </c>
      <c r="B100" s="3"/>
      <c r="C100" s="3" t="s">
        <v>54</v>
      </c>
      <c r="D100" s="3"/>
      <c r="E100" s="3">
        <v>0</v>
      </c>
      <c r="F100" s="3"/>
      <c r="G100" s="3">
        <v>737285.06</v>
      </c>
      <c r="H100" s="3"/>
      <c r="I100" s="3">
        <v>0</v>
      </c>
      <c r="J100" s="3"/>
      <c r="K100" s="3">
        <v>37336.77</v>
      </c>
      <c r="L100" s="3"/>
      <c r="M100" s="3">
        <v>0</v>
      </c>
      <c r="N100" s="3"/>
      <c r="O100" s="3">
        <v>11477</v>
      </c>
      <c r="P100" s="3"/>
      <c r="Q100" s="3">
        <v>52404.22</v>
      </c>
      <c r="R100" s="3"/>
      <c r="S100" s="3">
        <v>8423.61</v>
      </c>
      <c r="T100" s="3"/>
      <c r="U100" s="3">
        <v>0</v>
      </c>
      <c r="V100" s="3"/>
      <c r="W100" s="3">
        <v>100000</v>
      </c>
      <c r="X100" s="3"/>
      <c r="Y100" s="3">
        <v>0</v>
      </c>
      <c r="Z100" s="3"/>
      <c r="AA100" s="3">
        <v>0</v>
      </c>
      <c r="AB100" s="3"/>
      <c r="AC100" s="3">
        <f t="shared" si="2"/>
        <v>946926.66</v>
      </c>
      <c r="AD100" s="3"/>
      <c r="AE100" s="39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</row>
    <row r="101" spans="1:29" s="9" customFormat="1" ht="12" hidden="1">
      <c r="A101" s="9" t="s">
        <v>173</v>
      </c>
      <c r="C101" s="9" t="s">
        <v>46</v>
      </c>
      <c r="E101" s="9">
        <v>0</v>
      </c>
      <c r="G101" s="9">
        <v>0</v>
      </c>
      <c r="I101" s="9">
        <v>0</v>
      </c>
      <c r="K101" s="9">
        <v>0</v>
      </c>
      <c r="M101" s="9">
        <v>0</v>
      </c>
      <c r="O101" s="9">
        <v>0</v>
      </c>
      <c r="Q101" s="9">
        <v>0</v>
      </c>
      <c r="S101" s="9">
        <v>0</v>
      </c>
      <c r="U101" s="9">
        <v>0</v>
      </c>
      <c r="W101" s="9">
        <v>0</v>
      </c>
      <c r="Y101" s="9">
        <v>0</v>
      </c>
      <c r="AA101" s="9">
        <v>0</v>
      </c>
      <c r="AC101" s="9">
        <f t="shared" si="2"/>
        <v>0</v>
      </c>
    </row>
    <row r="102" spans="1:29" s="9" customFormat="1" ht="12">
      <c r="A102" s="9" t="s">
        <v>128</v>
      </c>
      <c r="C102" s="9" t="s">
        <v>98</v>
      </c>
      <c r="E102" s="3">
        <v>21289485</v>
      </c>
      <c r="F102" s="3"/>
      <c r="G102" s="3">
        <v>24799507</v>
      </c>
      <c r="H102" s="3"/>
      <c r="I102" s="3">
        <v>0</v>
      </c>
      <c r="J102" s="3"/>
      <c r="K102" s="3">
        <v>1979674</v>
      </c>
      <c r="L102" s="3"/>
      <c r="M102" s="3">
        <v>798690</v>
      </c>
      <c r="N102" s="3"/>
      <c r="O102" s="3">
        <v>175601</v>
      </c>
      <c r="P102" s="3"/>
      <c r="Q102" s="3">
        <v>1253974</v>
      </c>
      <c r="R102" s="3"/>
      <c r="S102" s="3">
        <v>1257034</v>
      </c>
      <c r="T102" s="3"/>
      <c r="U102" s="3">
        <v>0</v>
      </c>
      <c r="V102" s="3"/>
      <c r="W102" s="3">
        <v>2480342</v>
      </c>
      <c r="Y102" s="9">
        <v>0</v>
      </c>
      <c r="AA102" s="9">
        <v>0</v>
      </c>
      <c r="AC102" s="9">
        <f t="shared" si="2"/>
        <v>54034307</v>
      </c>
    </row>
    <row r="103" spans="1:29" s="9" customFormat="1" ht="12" hidden="1">
      <c r="A103" s="9" t="s">
        <v>39</v>
      </c>
      <c r="C103" s="9" t="s">
        <v>60</v>
      </c>
      <c r="E103" s="9">
        <v>0</v>
      </c>
      <c r="G103" s="9">
        <v>0</v>
      </c>
      <c r="I103" s="9">
        <v>0</v>
      </c>
      <c r="K103" s="9">
        <v>0</v>
      </c>
      <c r="M103" s="9">
        <v>0</v>
      </c>
      <c r="O103" s="9">
        <v>0</v>
      </c>
      <c r="Q103" s="9">
        <v>0</v>
      </c>
      <c r="S103" s="9">
        <v>0</v>
      </c>
      <c r="U103" s="9">
        <v>0</v>
      </c>
      <c r="W103" s="9">
        <v>0</v>
      </c>
      <c r="Y103" s="9">
        <v>0</v>
      </c>
      <c r="AA103" s="9">
        <v>0</v>
      </c>
      <c r="AC103" s="9">
        <f t="shared" si="2"/>
        <v>0</v>
      </c>
    </row>
    <row r="104" spans="1:29" s="9" customFormat="1" ht="12" hidden="1">
      <c r="A104" s="9" t="s">
        <v>176</v>
      </c>
      <c r="C104" s="9" t="s">
        <v>61</v>
      </c>
      <c r="E104" s="9">
        <v>0</v>
      </c>
      <c r="G104" s="9">
        <v>0</v>
      </c>
      <c r="I104" s="9">
        <v>0</v>
      </c>
      <c r="K104" s="9">
        <v>0</v>
      </c>
      <c r="M104" s="9">
        <v>0</v>
      </c>
      <c r="O104" s="9">
        <v>0</v>
      </c>
      <c r="Q104" s="9">
        <v>0</v>
      </c>
      <c r="S104" s="9">
        <v>0</v>
      </c>
      <c r="U104" s="9">
        <v>0</v>
      </c>
      <c r="W104" s="9">
        <v>0</v>
      </c>
      <c r="Y104" s="9">
        <v>0</v>
      </c>
      <c r="AA104" s="9">
        <v>0</v>
      </c>
      <c r="AC104" s="9">
        <f t="shared" si="2"/>
        <v>0</v>
      </c>
    </row>
    <row r="105" spans="1:63" s="9" customFormat="1" ht="12">
      <c r="A105" s="3" t="s">
        <v>519</v>
      </c>
      <c r="B105" s="3"/>
      <c r="C105" s="3" t="s">
        <v>73</v>
      </c>
      <c r="D105" s="3"/>
      <c r="E105" s="3">
        <v>0</v>
      </c>
      <c r="F105" s="3"/>
      <c r="G105" s="3">
        <v>634621.12</v>
      </c>
      <c r="H105" s="3"/>
      <c r="I105" s="3">
        <v>2350</v>
      </c>
      <c r="J105" s="3"/>
      <c r="K105" s="3">
        <v>21815.14</v>
      </c>
      <c r="L105" s="3"/>
      <c r="M105" s="3">
        <v>0</v>
      </c>
      <c r="N105" s="3"/>
      <c r="O105" s="3">
        <v>4397.76</v>
      </c>
      <c r="P105" s="3"/>
      <c r="Q105" s="3">
        <v>26358.59</v>
      </c>
      <c r="R105" s="3"/>
      <c r="S105" s="3">
        <v>0</v>
      </c>
      <c r="T105" s="3"/>
      <c r="U105" s="3">
        <v>0</v>
      </c>
      <c r="V105" s="3"/>
      <c r="W105" s="3">
        <v>0</v>
      </c>
      <c r="X105" s="3"/>
      <c r="Y105" s="3">
        <v>0</v>
      </c>
      <c r="Z105" s="3"/>
      <c r="AA105" s="3">
        <v>0</v>
      </c>
      <c r="AB105" s="3"/>
      <c r="AC105" s="3">
        <f aca="true" t="shared" si="3" ref="AC105:AC136">SUM(E105:AA105)</f>
        <v>689542.61</v>
      </c>
      <c r="AD105" s="3"/>
      <c r="AE105" s="39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</row>
    <row r="106" spans="1:29" s="9" customFormat="1" ht="12" hidden="1">
      <c r="A106" s="9" t="s">
        <v>352</v>
      </c>
      <c r="C106" s="9" t="s">
        <v>178</v>
      </c>
      <c r="E106" s="9">
        <v>0</v>
      </c>
      <c r="G106" s="9">
        <v>0</v>
      </c>
      <c r="I106" s="9">
        <v>0</v>
      </c>
      <c r="K106" s="9">
        <v>0</v>
      </c>
      <c r="M106" s="9">
        <v>0</v>
      </c>
      <c r="O106" s="9">
        <v>0</v>
      </c>
      <c r="Q106" s="9">
        <v>0</v>
      </c>
      <c r="S106" s="9">
        <v>0</v>
      </c>
      <c r="U106" s="9">
        <v>0</v>
      </c>
      <c r="W106" s="9">
        <v>0</v>
      </c>
      <c r="Y106" s="9">
        <v>0</v>
      </c>
      <c r="AA106" s="9">
        <v>0</v>
      </c>
      <c r="AC106" s="9">
        <f t="shared" si="3"/>
        <v>0</v>
      </c>
    </row>
    <row r="107" spans="1:29" s="9" customFormat="1" ht="12" hidden="1">
      <c r="A107" s="9" t="s">
        <v>353</v>
      </c>
      <c r="C107" s="9" t="s">
        <v>44</v>
      </c>
      <c r="E107" s="9">
        <v>0</v>
      </c>
      <c r="G107" s="9">
        <v>0</v>
      </c>
      <c r="I107" s="9">
        <v>0</v>
      </c>
      <c r="K107" s="9">
        <v>0</v>
      </c>
      <c r="M107" s="9">
        <v>0</v>
      </c>
      <c r="O107" s="9">
        <v>0</v>
      </c>
      <c r="Q107" s="9">
        <v>0</v>
      </c>
      <c r="S107" s="9">
        <v>0</v>
      </c>
      <c r="U107" s="9">
        <v>0</v>
      </c>
      <c r="W107" s="9">
        <v>0</v>
      </c>
      <c r="Y107" s="9">
        <v>0</v>
      </c>
      <c r="AA107" s="9">
        <v>0</v>
      </c>
      <c r="AC107" s="9">
        <f t="shared" si="3"/>
        <v>0</v>
      </c>
    </row>
    <row r="108" spans="1:29" s="9" customFormat="1" ht="12" hidden="1">
      <c r="A108" s="9" t="s">
        <v>179</v>
      </c>
      <c r="C108" s="9" t="s">
        <v>59</v>
      </c>
      <c r="E108" s="9">
        <v>0</v>
      </c>
      <c r="G108" s="9">
        <v>0</v>
      </c>
      <c r="I108" s="9">
        <v>0</v>
      </c>
      <c r="K108" s="9">
        <v>0</v>
      </c>
      <c r="M108" s="9">
        <v>0</v>
      </c>
      <c r="O108" s="9">
        <v>0</v>
      </c>
      <c r="Q108" s="9">
        <v>0</v>
      </c>
      <c r="S108" s="9">
        <v>0</v>
      </c>
      <c r="U108" s="9">
        <v>0</v>
      </c>
      <c r="W108" s="9">
        <v>0</v>
      </c>
      <c r="Y108" s="9">
        <v>0</v>
      </c>
      <c r="AA108" s="9">
        <v>0</v>
      </c>
      <c r="AC108" s="9">
        <f t="shared" si="3"/>
        <v>0</v>
      </c>
    </row>
    <row r="109" spans="1:29" s="9" customFormat="1" ht="12">
      <c r="A109" s="9" t="s">
        <v>129</v>
      </c>
      <c r="C109" s="9" t="s">
        <v>46</v>
      </c>
      <c r="E109" s="3">
        <v>556586</v>
      </c>
      <c r="F109" s="3"/>
      <c r="G109" s="3">
        <v>0</v>
      </c>
      <c r="H109" s="3"/>
      <c r="I109" s="3">
        <v>0</v>
      </c>
      <c r="J109" s="3"/>
      <c r="K109" s="3">
        <v>6871</v>
      </c>
      <c r="L109" s="3"/>
      <c r="M109" s="3">
        <v>380</v>
      </c>
      <c r="N109" s="3"/>
      <c r="O109" s="3">
        <v>2539</v>
      </c>
      <c r="P109" s="3"/>
      <c r="Q109" s="3">
        <v>26550</v>
      </c>
      <c r="R109" s="3"/>
      <c r="S109" s="3">
        <v>46177</v>
      </c>
      <c r="U109" s="9">
        <v>0</v>
      </c>
      <c r="W109" s="9">
        <v>0</v>
      </c>
      <c r="Y109" s="9">
        <v>0</v>
      </c>
      <c r="AA109" s="9">
        <v>0</v>
      </c>
      <c r="AC109" s="9">
        <f t="shared" si="3"/>
        <v>639103</v>
      </c>
    </row>
    <row r="110" spans="1:29" s="9" customFormat="1" ht="12">
      <c r="A110" s="9" t="s">
        <v>130</v>
      </c>
      <c r="C110" s="9" t="s">
        <v>131</v>
      </c>
      <c r="E110" s="9">
        <v>0</v>
      </c>
      <c r="G110" s="9">
        <v>1382578</v>
      </c>
      <c r="I110" s="9">
        <v>17638</v>
      </c>
      <c r="K110" s="9">
        <f>41799+11497</f>
        <v>53296</v>
      </c>
      <c r="M110" s="9">
        <v>0</v>
      </c>
      <c r="O110" s="9">
        <v>94932</v>
      </c>
      <c r="Q110" s="9">
        <v>75399</v>
      </c>
      <c r="S110" s="9">
        <v>4534</v>
      </c>
      <c r="U110" s="9">
        <v>1170</v>
      </c>
      <c r="W110" s="9">
        <v>103080</v>
      </c>
      <c r="Y110" s="9">
        <v>0</v>
      </c>
      <c r="AA110" s="9">
        <v>0</v>
      </c>
      <c r="AC110" s="9">
        <f t="shared" si="3"/>
        <v>1732627</v>
      </c>
    </row>
    <row r="111" spans="1:29" s="9" customFormat="1" ht="12" hidden="1">
      <c r="A111" s="9" t="s">
        <v>40</v>
      </c>
      <c r="C111" s="9" t="s">
        <v>13</v>
      </c>
      <c r="E111" s="9">
        <v>0</v>
      </c>
      <c r="G111" s="9">
        <v>0</v>
      </c>
      <c r="I111" s="9">
        <v>0</v>
      </c>
      <c r="K111" s="9">
        <v>0</v>
      </c>
      <c r="M111" s="9">
        <v>0</v>
      </c>
      <c r="O111" s="9">
        <v>0</v>
      </c>
      <c r="Q111" s="9">
        <v>0</v>
      </c>
      <c r="S111" s="9">
        <v>0</v>
      </c>
      <c r="U111" s="9">
        <v>0</v>
      </c>
      <c r="W111" s="9">
        <v>0</v>
      </c>
      <c r="Y111" s="9">
        <v>0</v>
      </c>
      <c r="AA111" s="9">
        <v>0</v>
      </c>
      <c r="AC111" s="9">
        <f t="shared" si="3"/>
        <v>0</v>
      </c>
    </row>
    <row r="112" spans="1:63" s="9" customFormat="1" ht="12">
      <c r="A112" s="3" t="s">
        <v>132</v>
      </c>
      <c r="B112" s="3"/>
      <c r="C112" s="3" t="s">
        <v>55</v>
      </c>
      <c r="D112" s="3"/>
      <c r="E112" s="3">
        <v>0</v>
      </c>
      <c r="F112" s="3"/>
      <c r="G112" s="3">
        <v>530124.33</v>
      </c>
      <c r="H112" s="3"/>
      <c r="I112" s="3">
        <v>0</v>
      </c>
      <c r="J112" s="3"/>
      <c r="K112" s="3">
        <v>12984.97</v>
      </c>
      <c r="L112" s="3"/>
      <c r="M112" s="3">
        <v>0</v>
      </c>
      <c r="N112" s="3"/>
      <c r="O112" s="3">
        <v>14704.85</v>
      </c>
      <c r="P112" s="3"/>
      <c r="Q112" s="3">
        <v>131013.12</v>
      </c>
      <c r="R112" s="3"/>
      <c r="S112" s="3">
        <v>1579.1</v>
      </c>
      <c r="T112" s="3"/>
      <c r="U112" s="3">
        <v>500</v>
      </c>
      <c r="V112" s="3"/>
      <c r="W112" s="3">
        <v>0</v>
      </c>
      <c r="X112" s="3"/>
      <c r="Y112" s="3">
        <v>0</v>
      </c>
      <c r="Z112" s="3"/>
      <c r="AA112" s="3">
        <v>0</v>
      </c>
      <c r="AB112" s="3"/>
      <c r="AC112" s="3">
        <f t="shared" si="3"/>
        <v>690906.3699999999</v>
      </c>
      <c r="AD112" s="3"/>
      <c r="AE112" s="39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</row>
    <row r="113" spans="1:29" s="9" customFormat="1" ht="12" hidden="1">
      <c r="A113" s="9" t="s">
        <v>184</v>
      </c>
      <c r="C113" s="9" t="s">
        <v>56</v>
      </c>
      <c r="E113" s="9">
        <v>0</v>
      </c>
      <c r="G113" s="9">
        <v>0</v>
      </c>
      <c r="I113" s="9">
        <v>0</v>
      </c>
      <c r="K113" s="9">
        <v>0</v>
      </c>
      <c r="M113" s="9">
        <v>0</v>
      </c>
      <c r="O113" s="9">
        <v>0</v>
      </c>
      <c r="Q113" s="9">
        <v>0</v>
      </c>
      <c r="S113" s="9">
        <v>0</v>
      </c>
      <c r="U113" s="9">
        <v>0</v>
      </c>
      <c r="W113" s="9">
        <v>0</v>
      </c>
      <c r="Y113" s="9">
        <v>0</v>
      </c>
      <c r="AA113" s="9">
        <v>0</v>
      </c>
      <c r="AC113" s="9">
        <f t="shared" si="3"/>
        <v>0</v>
      </c>
    </row>
    <row r="114" spans="1:29" s="9" customFormat="1" ht="12" hidden="1">
      <c r="A114" s="9" t="s">
        <v>185</v>
      </c>
      <c r="C114" s="9" t="s">
        <v>186</v>
      </c>
      <c r="E114" s="9">
        <v>0</v>
      </c>
      <c r="G114" s="9">
        <v>0</v>
      </c>
      <c r="I114" s="9">
        <v>0</v>
      </c>
      <c r="K114" s="9">
        <v>0</v>
      </c>
      <c r="M114" s="9">
        <v>0</v>
      </c>
      <c r="O114" s="9">
        <v>0</v>
      </c>
      <c r="Q114" s="9">
        <v>0</v>
      </c>
      <c r="S114" s="9">
        <v>0</v>
      </c>
      <c r="U114" s="9">
        <v>0</v>
      </c>
      <c r="W114" s="9">
        <v>0</v>
      </c>
      <c r="Y114" s="9">
        <v>0</v>
      </c>
      <c r="AA114" s="9">
        <v>0</v>
      </c>
      <c r="AC114" s="9">
        <f t="shared" si="3"/>
        <v>0</v>
      </c>
    </row>
    <row r="115" spans="1:29" s="9" customFormat="1" ht="12" hidden="1">
      <c r="A115" s="9" t="s">
        <v>187</v>
      </c>
      <c r="C115" s="9" t="s">
        <v>62</v>
      </c>
      <c r="E115" s="9">
        <v>0</v>
      </c>
      <c r="G115" s="9">
        <v>0</v>
      </c>
      <c r="I115" s="9">
        <v>0</v>
      </c>
      <c r="K115" s="9">
        <v>0</v>
      </c>
      <c r="M115" s="9">
        <v>0</v>
      </c>
      <c r="O115" s="9">
        <v>0</v>
      </c>
      <c r="Q115" s="9">
        <v>0</v>
      </c>
      <c r="S115" s="9">
        <v>0</v>
      </c>
      <c r="U115" s="9">
        <v>0</v>
      </c>
      <c r="W115" s="9">
        <v>0</v>
      </c>
      <c r="Y115" s="9">
        <v>0</v>
      </c>
      <c r="AA115" s="9">
        <v>0</v>
      </c>
      <c r="AC115" s="9">
        <f t="shared" si="3"/>
        <v>0</v>
      </c>
    </row>
    <row r="116" spans="1:29" s="9" customFormat="1" ht="12">
      <c r="A116" s="9" t="s">
        <v>133</v>
      </c>
      <c r="C116" s="9" t="s">
        <v>20</v>
      </c>
      <c r="E116" s="3">
        <v>32821754</v>
      </c>
      <c r="F116" s="3"/>
      <c r="G116" s="3">
        <v>0</v>
      </c>
      <c r="H116" s="3"/>
      <c r="I116" s="3">
        <v>30604356</v>
      </c>
      <c r="J116" s="3"/>
      <c r="K116" s="3">
        <v>779375</v>
      </c>
      <c r="L116" s="3"/>
      <c r="M116" s="3">
        <f>3751+29275</f>
        <v>33026</v>
      </c>
      <c r="N116" s="3"/>
      <c r="O116" s="3">
        <v>213275</v>
      </c>
      <c r="P116" s="3"/>
      <c r="Q116" s="3">
        <v>1597148</v>
      </c>
      <c r="R116" s="3"/>
      <c r="S116" s="3">
        <v>618620</v>
      </c>
      <c r="T116" s="3"/>
      <c r="U116" s="3">
        <v>0</v>
      </c>
      <c r="V116" s="3"/>
      <c r="W116" s="3">
        <v>5209195</v>
      </c>
      <c r="X116" s="3"/>
      <c r="Y116" s="3">
        <v>30000</v>
      </c>
      <c r="AA116" s="9">
        <v>0</v>
      </c>
      <c r="AC116" s="9">
        <f t="shared" si="3"/>
        <v>71906749</v>
      </c>
    </row>
    <row r="117" spans="1:29" s="9" customFormat="1" ht="12" hidden="1">
      <c r="A117" s="9" t="s">
        <v>189</v>
      </c>
      <c r="C117" s="9" t="s">
        <v>190</v>
      </c>
      <c r="E117" s="9">
        <v>0</v>
      </c>
      <c r="G117" s="9">
        <v>0</v>
      </c>
      <c r="I117" s="9">
        <v>0</v>
      </c>
      <c r="K117" s="9">
        <v>0</v>
      </c>
      <c r="M117" s="9">
        <v>0</v>
      </c>
      <c r="O117" s="9">
        <v>0</v>
      </c>
      <c r="Q117" s="9">
        <v>0</v>
      </c>
      <c r="S117" s="9">
        <v>0</v>
      </c>
      <c r="U117" s="9">
        <v>0</v>
      </c>
      <c r="W117" s="9">
        <v>0</v>
      </c>
      <c r="Y117" s="9">
        <v>0</v>
      </c>
      <c r="AA117" s="9">
        <v>0</v>
      </c>
      <c r="AC117" s="9">
        <f t="shared" si="3"/>
        <v>0</v>
      </c>
    </row>
    <row r="118" spans="1:29" s="9" customFormat="1" ht="12" hidden="1">
      <c r="A118" s="9" t="s">
        <v>191</v>
      </c>
      <c r="C118" s="9" t="s">
        <v>46</v>
      </c>
      <c r="E118" s="9">
        <v>0</v>
      </c>
      <c r="G118" s="9">
        <v>0</v>
      </c>
      <c r="I118" s="9">
        <v>0</v>
      </c>
      <c r="K118" s="9">
        <v>0</v>
      </c>
      <c r="M118" s="9">
        <v>0</v>
      </c>
      <c r="O118" s="9">
        <v>0</v>
      </c>
      <c r="Q118" s="9">
        <v>0</v>
      </c>
      <c r="S118" s="9">
        <v>0</v>
      </c>
      <c r="U118" s="9">
        <v>0</v>
      </c>
      <c r="W118" s="9">
        <v>0</v>
      </c>
      <c r="Y118" s="9">
        <v>0</v>
      </c>
      <c r="AA118" s="9">
        <v>0</v>
      </c>
      <c r="AC118" s="9">
        <f t="shared" si="3"/>
        <v>0</v>
      </c>
    </row>
    <row r="119" spans="1:29" s="9" customFormat="1" ht="12" hidden="1">
      <c r="A119" s="9" t="s">
        <v>192</v>
      </c>
      <c r="C119" s="9" t="s">
        <v>59</v>
      </c>
      <c r="E119" s="9">
        <v>0</v>
      </c>
      <c r="G119" s="9">
        <v>0</v>
      </c>
      <c r="I119" s="9">
        <v>0</v>
      </c>
      <c r="K119" s="9">
        <v>0</v>
      </c>
      <c r="M119" s="9">
        <v>0</v>
      </c>
      <c r="O119" s="9">
        <v>0</v>
      </c>
      <c r="Q119" s="9">
        <v>0</v>
      </c>
      <c r="S119" s="9">
        <v>0</v>
      </c>
      <c r="U119" s="9">
        <v>0</v>
      </c>
      <c r="W119" s="9">
        <v>0</v>
      </c>
      <c r="Y119" s="9">
        <v>0</v>
      </c>
      <c r="AA119" s="9">
        <v>0</v>
      </c>
      <c r="AC119" s="9">
        <f t="shared" si="3"/>
        <v>0</v>
      </c>
    </row>
    <row r="120" spans="1:29" s="9" customFormat="1" ht="12" hidden="1">
      <c r="A120" s="9" t="s">
        <v>193</v>
      </c>
      <c r="C120" s="9" t="s">
        <v>16</v>
      </c>
      <c r="E120" s="9">
        <v>0</v>
      </c>
      <c r="G120" s="9">
        <v>0</v>
      </c>
      <c r="I120" s="9">
        <v>0</v>
      </c>
      <c r="K120" s="9">
        <v>0</v>
      </c>
      <c r="M120" s="9">
        <v>0</v>
      </c>
      <c r="O120" s="9">
        <v>0</v>
      </c>
      <c r="Q120" s="9">
        <v>0</v>
      </c>
      <c r="S120" s="9">
        <v>0</v>
      </c>
      <c r="U120" s="9">
        <v>0</v>
      </c>
      <c r="W120" s="9">
        <v>0</v>
      </c>
      <c r="Y120" s="9">
        <v>0</v>
      </c>
      <c r="AA120" s="9">
        <v>0</v>
      </c>
      <c r="AC120" s="9">
        <f t="shared" si="3"/>
        <v>0</v>
      </c>
    </row>
    <row r="121" spans="1:29" s="9" customFormat="1" ht="12">
      <c r="A121" s="9" t="s">
        <v>134</v>
      </c>
      <c r="C121" s="9" t="s">
        <v>58</v>
      </c>
      <c r="E121" s="3">
        <v>8950282</v>
      </c>
      <c r="F121" s="3"/>
      <c r="G121" s="3">
        <v>20471725</v>
      </c>
      <c r="H121" s="3"/>
      <c r="I121" s="3">
        <v>0</v>
      </c>
      <c r="J121" s="3"/>
      <c r="K121" s="3">
        <v>544121</v>
      </c>
      <c r="L121" s="3"/>
      <c r="M121" s="3">
        <v>106651</v>
      </c>
      <c r="N121" s="3"/>
      <c r="O121" s="3">
        <v>118743</v>
      </c>
      <c r="P121" s="3"/>
      <c r="Q121" s="3">
        <v>1088518</v>
      </c>
      <c r="R121" s="3"/>
      <c r="S121" s="3">
        <v>143223</v>
      </c>
      <c r="T121" s="3"/>
      <c r="U121" s="3">
        <v>4484</v>
      </c>
      <c r="W121" s="9">
        <v>4143566</v>
      </c>
      <c r="Y121" s="9">
        <v>0</v>
      </c>
      <c r="AA121" s="9">
        <v>0</v>
      </c>
      <c r="AC121" s="9">
        <f t="shared" si="3"/>
        <v>35571313</v>
      </c>
    </row>
    <row r="122" spans="1:29" s="9" customFormat="1" ht="12">
      <c r="A122" s="9" t="s">
        <v>135</v>
      </c>
      <c r="C122" s="9" t="s">
        <v>136</v>
      </c>
      <c r="E122" s="3">
        <v>0</v>
      </c>
      <c r="F122" s="3"/>
      <c r="G122" s="3">
        <v>1489460</v>
      </c>
      <c r="H122" s="3"/>
      <c r="I122" s="3">
        <v>10272</v>
      </c>
      <c r="J122" s="3"/>
      <c r="K122" s="3">
        <v>23252</v>
      </c>
      <c r="L122" s="3"/>
      <c r="M122" s="3">
        <v>0</v>
      </c>
      <c r="N122" s="3"/>
      <c r="O122" s="3">
        <v>4698</v>
      </c>
      <c r="P122" s="3"/>
      <c r="Q122" s="3">
        <v>65664</v>
      </c>
      <c r="R122" s="3"/>
      <c r="S122" s="3">
        <v>28231</v>
      </c>
      <c r="T122" s="3"/>
      <c r="U122" s="3">
        <v>0</v>
      </c>
      <c r="V122" s="3"/>
      <c r="W122" s="3">
        <v>0</v>
      </c>
      <c r="X122" s="3"/>
      <c r="Y122" s="3">
        <v>0</v>
      </c>
      <c r="Z122" s="3"/>
      <c r="AA122" s="3">
        <v>0</v>
      </c>
      <c r="AC122" s="9">
        <f t="shared" si="3"/>
        <v>1621577</v>
      </c>
    </row>
    <row r="123" spans="1:29" s="9" customFormat="1" ht="12" hidden="1">
      <c r="A123" s="9" t="s">
        <v>194</v>
      </c>
      <c r="C123" s="9" t="s">
        <v>57</v>
      </c>
      <c r="E123" s="9">
        <v>0</v>
      </c>
      <c r="G123" s="9">
        <v>0</v>
      </c>
      <c r="I123" s="9">
        <v>0</v>
      </c>
      <c r="K123" s="9">
        <v>0</v>
      </c>
      <c r="M123" s="9">
        <v>0</v>
      </c>
      <c r="O123" s="9">
        <v>0</v>
      </c>
      <c r="Q123" s="9">
        <v>0</v>
      </c>
      <c r="S123" s="9">
        <v>0</v>
      </c>
      <c r="U123" s="9">
        <v>0</v>
      </c>
      <c r="W123" s="9">
        <v>0</v>
      </c>
      <c r="Y123" s="9">
        <v>0</v>
      </c>
      <c r="AA123" s="9">
        <v>0</v>
      </c>
      <c r="AC123" s="9">
        <f t="shared" si="3"/>
        <v>0</v>
      </c>
    </row>
    <row r="124" spans="1:29" s="9" customFormat="1" ht="12" hidden="1">
      <c r="A124" s="9" t="s">
        <v>195</v>
      </c>
      <c r="C124" s="9" t="s">
        <v>54</v>
      </c>
      <c r="E124" s="9">
        <v>0</v>
      </c>
      <c r="G124" s="9">
        <v>0</v>
      </c>
      <c r="I124" s="9">
        <v>0</v>
      </c>
      <c r="K124" s="9">
        <v>0</v>
      </c>
      <c r="M124" s="9">
        <v>0</v>
      </c>
      <c r="O124" s="9">
        <v>0</v>
      </c>
      <c r="Q124" s="9">
        <v>0</v>
      </c>
      <c r="S124" s="9">
        <v>0</v>
      </c>
      <c r="U124" s="9">
        <v>0</v>
      </c>
      <c r="W124" s="9">
        <v>0</v>
      </c>
      <c r="Y124" s="9">
        <v>0</v>
      </c>
      <c r="AA124" s="9">
        <v>0</v>
      </c>
      <c r="AC124" s="9">
        <f t="shared" si="3"/>
        <v>0</v>
      </c>
    </row>
    <row r="125" spans="1:29" s="9" customFormat="1" ht="12" hidden="1">
      <c r="A125" s="9" t="s">
        <v>196</v>
      </c>
      <c r="C125" s="9" t="s">
        <v>54</v>
      </c>
      <c r="E125" s="9">
        <v>0</v>
      </c>
      <c r="G125" s="9">
        <v>0</v>
      </c>
      <c r="I125" s="9">
        <v>0</v>
      </c>
      <c r="K125" s="9">
        <v>0</v>
      </c>
      <c r="M125" s="9">
        <v>0</v>
      </c>
      <c r="O125" s="9">
        <v>0</v>
      </c>
      <c r="Q125" s="9">
        <v>0</v>
      </c>
      <c r="S125" s="9">
        <v>0</v>
      </c>
      <c r="U125" s="9">
        <v>0</v>
      </c>
      <c r="W125" s="9">
        <v>0</v>
      </c>
      <c r="Y125" s="9">
        <v>0</v>
      </c>
      <c r="AA125" s="9">
        <v>0</v>
      </c>
      <c r="AC125" s="9">
        <f t="shared" si="3"/>
        <v>0</v>
      </c>
    </row>
    <row r="126" spans="1:29" s="9" customFormat="1" ht="12" hidden="1">
      <c r="A126" s="9" t="s">
        <v>197</v>
      </c>
      <c r="C126" s="9" t="s">
        <v>63</v>
      </c>
      <c r="E126" s="9">
        <v>0</v>
      </c>
      <c r="G126" s="9">
        <v>0</v>
      </c>
      <c r="I126" s="9">
        <v>0</v>
      </c>
      <c r="K126" s="9">
        <v>0</v>
      </c>
      <c r="M126" s="9">
        <v>0</v>
      </c>
      <c r="O126" s="9">
        <v>0</v>
      </c>
      <c r="Q126" s="9">
        <v>0</v>
      </c>
      <c r="S126" s="9">
        <v>0</v>
      </c>
      <c r="U126" s="9">
        <v>0</v>
      </c>
      <c r="W126" s="9">
        <v>0</v>
      </c>
      <c r="Y126" s="9">
        <v>0</v>
      </c>
      <c r="AA126" s="9">
        <v>0</v>
      </c>
      <c r="AC126" s="9">
        <f t="shared" si="3"/>
        <v>0</v>
      </c>
    </row>
    <row r="127" spans="1:29" s="9" customFormat="1" ht="12">
      <c r="A127" s="9" t="s">
        <v>137</v>
      </c>
      <c r="C127" s="9" t="s">
        <v>73</v>
      </c>
      <c r="E127" s="3">
        <v>303810</v>
      </c>
      <c r="F127" s="3"/>
      <c r="G127" s="3">
        <v>2061025</v>
      </c>
      <c r="H127" s="3"/>
      <c r="I127" s="3">
        <v>15961</v>
      </c>
      <c r="J127" s="3"/>
      <c r="K127" s="3">
        <v>56758</v>
      </c>
      <c r="L127" s="3"/>
      <c r="M127" s="3">
        <v>0</v>
      </c>
      <c r="N127" s="3"/>
      <c r="O127" s="3">
        <v>52222</v>
      </c>
      <c r="P127" s="3"/>
      <c r="Q127" s="3">
        <v>135269</v>
      </c>
      <c r="R127" s="3"/>
      <c r="S127" s="3">
        <v>9310</v>
      </c>
      <c r="T127" s="3"/>
      <c r="U127" s="3">
        <v>0</v>
      </c>
      <c r="V127" s="3"/>
      <c r="W127" s="3">
        <v>0</v>
      </c>
      <c r="X127" s="3"/>
      <c r="Y127" s="3">
        <v>0</v>
      </c>
      <c r="Z127" s="3"/>
      <c r="AA127" s="3">
        <v>0</v>
      </c>
      <c r="AC127" s="9">
        <f t="shared" si="3"/>
        <v>2634355</v>
      </c>
    </row>
    <row r="128" spans="1:29" s="9" customFormat="1" ht="12">
      <c r="A128" s="9" t="s">
        <v>495</v>
      </c>
      <c r="C128" s="9" t="s">
        <v>73</v>
      </c>
      <c r="E128" s="3">
        <v>0</v>
      </c>
      <c r="F128" s="3"/>
      <c r="G128" s="3">
        <v>0</v>
      </c>
      <c r="H128" s="3"/>
      <c r="I128" s="3">
        <f>53493+229917</f>
        <v>283410</v>
      </c>
      <c r="J128" s="3"/>
      <c r="K128" s="3">
        <f>1250+7000</f>
        <v>8250</v>
      </c>
      <c r="L128" s="3"/>
      <c r="M128" s="3">
        <v>0</v>
      </c>
      <c r="N128" s="3"/>
      <c r="O128" s="3">
        <v>0</v>
      </c>
      <c r="P128" s="3"/>
      <c r="Q128" s="3">
        <v>6837</v>
      </c>
      <c r="R128" s="3"/>
      <c r="S128" s="3">
        <v>0</v>
      </c>
      <c r="T128" s="3"/>
      <c r="U128" s="3">
        <v>0</v>
      </c>
      <c r="V128" s="3"/>
      <c r="W128" s="3">
        <v>0</v>
      </c>
      <c r="X128" s="3"/>
      <c r="Y128" s="3">
        <v>0</v>
      </c>
      <c r="Z128" s="3"/>
      <c r="AA128" s="3">
        <v>0</v>
      </c>
      <c r="AC128" s="9">
        <f t="shared" si="3"/>
        <v>298497</v>
      </c>
    </row>
    <row r="129" spans="1:63" s="9" customFormat="1" ht="12">
      <c r="A129" s="3" t="s">
        <v>138</v>
      </c>
      <c r="B129" s="3"/>
      <c r="C129" s="3" t="s">
        <v>104</v>
      </c>
      <c r="D129" s="3"/>
      <c r="E129" s="3">
        <v>57398.73</v>
      </c>
      <c r="F129" s="3"/>
      <c r="G129" s="3">
        <v>440241.58</v>
      </c>
      <c r="H129" s="3"/>
      <c r="I129" s="3">
        <v>0</v>
      </c>
      <c r="J129" s="3"/>
      <c r="K129" s="3">
        <v>7684.82</v>
      </c>
      <c r="L129" s="3"/>
      <c r="M129" s="3">
        <v>0</v>
      </c>
      <c r="N129" s="3"/>
      <c r="O129" s="3">
        <v>27652.37</v>
      </c>
      <c r="P129" s="3"/>
      <c r="Q129" s="3">
        <v>17055.72</v>
      </c>
      <c r="R129" s="3"/>
      <c r="S129" s="3">
        <v>4536.69</v>
      </c>
      <c r="T129" s="3"/>
      <c r="U129" s="3">
        <v>0</v>
      </c>
      <c r="V129" s="3"/>
      <c r="W129" s="3">
        <v>14754.02</v>
      </c>
      <c r="X129" s="3"/>
      <c r="Y129" s="3">
        <v>0</v>
      </c>
      <c r="Z129" s="3"/>
      <c r="AA129" s="3">
        <v>0</v>
      </c>
      <c r="AB129" s="3"/>
      <c r="AC129" s="3">
        <f t="shared" si="3"/>
        <v>569323.9299999999</v>
      </c>
      <c r="AD129" s="3"/>
      <c r="AE129" s="39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</row>
    <row r="130" spans="1:63" s="9" customFormat="1" ht="12">
      <c r="A130" s="3" t="s">
        <v>139</v>
      </c>
      <c r="B130" s="3"/>
      <c r="C130" s="3" t="s">
        <v>45</v>
      </c>
      <c r="D130" s="3"/>
      <c r="E130" s="3">
        <v>98872.01</v>
      </c>
      <c r="F130" s="3"/>
      <c r="G130" s="3">
        <v>295054.55</v>
      </c>
      <c r="H130" s="3"/>
      <c r="I130" s="3">
        <v>56582.26</v>
      </c>
      <c r="J130" s="3"/>
      <c r="K130" s="3">
        <v>17015.72</v>
      </c>
      <c r="L130" s="3"/>
      <c r="M130" s="3">
        <v>0</v>
      </c>
      <c r="N130" s="3"/>
      <c r="O130" s="3">
        <v>13515.28</v>
      </c>
      <c r="P130" s="3"/>
      <c r="Q130" s="3">
        <v>25733.23</v>
      </c>
      <c r="R130" s="3"/>
      <c r="S130" s="3">
        <v>0</v>
      </c>
      <c r="T130" s="3"/>
      <c r="U130" s="3">
        <v>1225.13</v>
      </c>
      <c r="V130" s="3"/>
      <c r="W130" s="3">
        <v>0</v>
      </c>
      <c r="X130" s="3"/>
      <c r="Y130" s="3">
        <v>0</v>
      </c>
      <c r="Z130" s="3"/>
      <c r="AA130" s="3">
        <v>0</v>
      </c>
      <c r="AB130" s="3"/>
      <c r="AC130" s="3">
        <f t="shared" si="3"/>
        <v>507998.18000000005</v>
      </c>
      <c r="AD130" s="3"/>
      <c r="AE130" s="39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</row>
    <row r="131" spans="1:29" s="9" customFormat="1" ht="12">
      <c r="A131" s="9" t="s">
        <v>140</v>
      </c>
      <c r="C131" s="9" t="s">
        <v>66</v>
      </c>
      <c r="E131" s="3">
        <v>0</v>
      </c>
      <c r="F131" s="3"/>
      <c r="G131" s="3">
        <v>325593</v>
      </c>
      <c r="H131" s="3"/>
      <c r="I131" s="3">
        <v>0</v>
      </c>
      <c r="J131" s="3"/>
      <c r="K131" s="3">
        <v>16108</v>
      </c>
      <c r="L131" s="3"/>
      <c r="M131" s="3">
        <v>0</v>
      </c>
      <c r="N131" s="3"/>
      <c r="O131" s="3">
        <v>12880</v>
      </c>
      <c r="P131" s="3"/>
      <c r="Q131" s="3">
        <v>15640</v>
      </c>
      <c r="R131" s="3"/>
      <c r="S131" s="3">
        <v>0</v>
      </c>
      <c r="T131" s="3"/>
      <c r="U131" s="3">
        <v>0</v>
      </c>
      <c r="V131" s="3"/>
      <c r="W131" s="3">
        <v>0</v>
      </c>
      <c r="X131" s="3"/>
      <c r="Y131" s="3">
        <v>0</v>
      </c>
      <c r="Z131" s="3"/>
      <c r="AA131" s="3">
        <v>0</v>
      </c>
      <c r="AC131" s="9">
        <f t="shared" si="3"/>
        <v>370221</v>
      </c>
    </row>
    <row r="132" spans="1:29" s="9" customFormat="1" ht="12">
      <c r="A132" s="9" t="s">
        <v>141</v>
      </c>
      <c r="C132" s="9" t="s">
        <v>27</v>
      </c>
      <c r="E132" s="3">
        <v>0</v>
      </c>
      <c r="F132" s="3"/>
      <c r="G132" s="3">
        <v>737451</v>
      </c>
      <c r="H132" s="3"/>
      <c r="I132" s="3">
        <v>0</v>
      </c>
      <c r="J132" s="3"/>
      <c r="K132" s="3">
        <v>26158</v>
      </c>
      <c r="L132" s="3"/>
      <c r="M132" s="3">
        <v>0</v>
      </c>
      <c r="N132" s="3"/>
      <c r="O132" s="3">
        <v>3077</v>
      </c>
      <c r="P132" s="3"/>
      <c r="Q132" s="3">
        <v>57789</v>
      </c>
      <c r="R132" s="3"/>
      <c r="S132" s="3">
        <v>3819</v>
      </c>
      <c r="T132" s="3"/>
      <c r="U132" s="3">
        <v>0</v>
      </c>
      <c r="V132" s="3"/>
      <c r="W132" s="3">
        <v>50000</v>
      </c>
      <c r="X132" s="3"/>
      <c r="Y132" s="3">
        <v>0</v>
      </c>
      <c r="Z132" s="3"/>
      <c r="AA132" s="3">
        <v>0</v>
      </c>
      <c r="AC132" s="9">
        <f t="shared" si="3"/>
        <v>878294</v>
      </c>
    </row>
    <row r="133" spans="1:29" s="9" customFormat="1" ht="12" hidden="1">
      <c r="A133" s="9" t="s">
        <v>204</v>
      </c>
      <c r="C133" s="9" t="s">
        <v>26</v>
      </c>
      <c r="E133" s="9">
        <v>0</v>
      </c>
      <c r="G133" s="9">
        <v>0</v>
      </c>
      <c r="I133" s="9">
        <v>0</v>
      </c>
      <c r="K133" s="9">
        <v>0</v>
      </c>
      <c r="M133" s="9">
        <v>0</v>
      </c>
      <c r="O133" s="9">
        <v>0</v>
      </c>
      <c r="Q133" s="9">
        <v>0</v>
      </c>
      <c r="S133" s="9">
        <v>0</v>
      </c>
      <c r="U133" s="9">
        <v>0</v>
      </c>
      <c r="W133" s="9">
        <v>0</v>
      </c>
      <c r="Y133" s="9">
        <v>0</v>
      </c>
      <c r="AA133" s="9">
        <v>0</v>
      </c>
      <c r="AC133" s="9">
        <f t="shared" si="3"/>
        <v>0</v>
      </c>
    </row>
    <row r="134" spans="1:63" s="9" customFormat="1" ht="12">
      <c r="A134" s="3" t="s">
        <v>385</v>
      </c>
      <c r="B134" s="3"/>
      <c r="C134" s="3" t="s">
        <v>143</v>
      </c>
      <c r="D134" s="3"/>
      <c r="E134" s="3">
        <v>143025.32</v>
      </c>
      <c r="F134" s="3"/>
      <c r="G134" s="3">
        <v>1186952.86</v>
      </c>
      <c r="H134" s="3"/>
      <c r="I134" s="3">
        <v>43392.19</v>
      </c>
      <c r="J134" s="3"/>
      <c r="K134" s="3">
        <v>40826.83</v>
      </c>
      <c r="L134" s="3"/>
      <c r="M134" s="3">
        <v>0</v>
      </c>
      <c r="N134" s="3"/>
      <c r="O134" s="3">
        <v>4627.58</v>
      </c>
      <c r="P134" s="3"/>
      <c r="Q134" s="3">
        <v>94913.02</v>
      </c>
      <c r="R134" s="3"/>
      <c r="S134" s="3">
        <v>11686.2</v>
      </c>
      <c r="T134" s="3"/>
      <c r="U134" s="3">
        <v>0</v>
      </c>
      <c r="V134" s="3"/>
      <c r="W134" s="3">
        <v>0</v>
      </c>
      <c r="X134" s="3"/>
      <c r="Y134" s="3">
        <v>0</v>
      </c>
      <c r="Z134" s="3"/>
      <c r="AA134" s="3">
        <v>0</v>
      </c>
      <c r="AB134" s="3"/>
      <c r="AC134" s="3">
        <f t="shared" si="3"/>
        <v>1525424.0000000002</v>
      </c>
      <c r="AD134" s="3"/>
      <c r="AE134" s="39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</row>
    <row r="135" spans="1:29" s="9" customFormat="1" ht="12">
      <c r="A135" s="9" t="s">
        <v>144</v>
      </c>
      <c r="C135" s="9" t="s">
        <v>93</v>
      </c>
      <c r="E135" s="3">
        <v>0</v>
      </c>
      <c r="F135" s="3"/>
      <c r="G135" s="3">
        <v>63772</v>
      </c>
      <c r="H135" s="3"/>
      <c r="I135" s="3">
        <v>23500</v>
      </c>
      <c r="J135" s="3"/>
      <c r="K135" s="3">
        <v>899</v>
      </c>
      <c r="L135" s="3"/>
      <c r="M135" s="3">
        <v>0</v>
      </c>
      <c r="N135" s="3"/>
      <c r="O135" s="3">
        <v>820</v>
      </c>
      <c r="P135" s="3"/>
      <c r="Q135" s="3">
        <v>25834</v>
      </c>
      <c r="S135" s="9">
        <v>0</v>
      </c>
      <c r="U135" s="9">
        <v>0</v>
      </c>
      <c r="W135" s="9">
        <v>0</v>
      </c>
      <c r="Y135" s="9">
        <v>0</v>
      </c>
      <c r="AA135" s="9">
        <v>0</v>
      </c>
      <c r="AC135" s="9">
        <f t="shared" si="3"/>
        <v>114825</v>
      </c>
    </row>
    <row r="136" spans="1:29" s="9" customFormat="1" ht="12" hidden="1">
      <c r="A136" s="9" t="s">
        <v>208</v>
      </c>
      <c r="C136" s="9" t="s">
        <v>109</v>
      </c>
      <c r="E136" s="9">
        <v>0</v>
      </c>
      <c r="G136" s="9">
        <v>0</v>
      </c>
      <c r="I136" s="9">
        <v>0</v>
      </c>
      <c r="K136" s="9">
        <v>0</v>
      </c>
      <c r="M136" s="9">
        <v>0</v>
      </c>
      <c r="O136" s="9">
        <v>0</v>
      </c>
      <c r="Q136" s="9">
        <v>0</v>
      </c>
      <c r="S136" s="9">
        <v>0</v>
      </c>
      <c r="U136" s="9">
        <v>0</v>
      </c>
      <c r="W136" s="9">
        <v>0</v>
      </c>
      <c r="Y136" s="9">
        <v>0</v>
      </c>
      <c r="AA136" s="9">
        <v>0</v>
      </c>
      <c r="AC136" s="9">
        <f t="shared" si="3"/>
        <v>0</v>
      </c>
    </row>
    <row r="137" spans="1:63" s="9" customFormat="1" ht="12">
      <c r="A137" s="3" t="s">
        <v>520</v>
      </c>
      <c r="B137" s="3"/>
      <c r="C137" s="3" t="s">
        <v>20</v>
      </c>
      <c r="D137" s="3"/>
      <c r="E137" s="3">
        <v>1006392.57</v>
      </c>
      <c r="F137" s="3"/>
      <c r="G137" s="3">
        <v>1519891.06</v>
      </c>
      <c r="H137" s="3"/>
      <c r="I137" s="3">
        <v>0</v>
      </c>
      <c r="J137" s="3"/>
      <c r="K137" s="3">
        <v>5298.06</v>
      </c>
      <c r="L137" s="3"/>
      <c r="M137" s="3">
        <v>0</v>
      </c>
      <c r="N137" s="3"/>
      <c r="O137" s="3">
        <v>109431</v>
      </c>
      <c r="P137" s="3"/>
      <c r="Q137" s="3">
        <v>37815.3</v>
      </c>
      <c r="R137" s="3"/>
      <c r="S137" s="3">
        <v>19898.03</v>
      </c>
      <c r="T137" s="3"/>
      <c r="U137" s="3">
        <v>0</v>
      </c>
      <c r="V137" s="3"/>
      <c r="W137" s="3">
        <v>0</v>
      </c>
      <c r="X137" s="3"/>
      <c r="Y137" s="3">
        <v>0</v>
      </c>
      <c r="Z137" s="3"/>
      <c r="AA137" s="3">
        <v>0</v>
      </c>
      <c r="AB137" s="3"/>
      <c r="AC137" s="3">
        <f aca="true" t="shared" si="4" ref="AC137:AC145">SUM(E137:AA137)</f>
        <v>2698726.0199999996</v>
      </c>
      <c r="AD137" s="3"/>
      <c r="AE137" s="39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</row>
    <row r="138" spans="1:63" s="9" customFormat="1" ht="12">
      <c r="A138" s="3" t="s">
        <v>521</v>
      </c>
      <c r="B138" s="3"/>
      <c r="C138" s="3" t="s">
        <v>54</v>
      </c>
      <c r="D138" s="3"/>
      <c r="E138" s="3">
        <v>0</v>
      </c>
      <c r="F138" s="3"/>
      <c r="G138" s="3">
        <v>445103.49</v>
      </c>
      <c r="H138" s="3"/>
      <c r="I138" s="3">
        <v>0</v>
      </c>
      <c r="J138" s="3"/>
      <c r="K138" s="3">
        <v>14803.47</v>
      </c>
      <c r="L138" s="3"/>
      <c r="M138" s="3">
        <v>0</v>
      </c>
      <c r="N138" s="3"/>
      <c r="O138" s="3">
        <v>11147.17</v>
      </c>
      <c r="P138" s="3"/>
      <c r="Q138" s="3">
        <v>31450.48</v>
      </c>
      <c r="R138" s="3"/>
      <c r="S138" s="3">
        <v>240</v>
      </c>
      <c r="T138" s="3"/>
      <c r="U138" s="3">
        <v>0</v>
      </c>
      <c r="V138" s="3"/>
      <c r="W138" s="3">
        <v>10000</v>
      </c>
      <c r="X138" s="3"/>
      <c r="Y138" s="3">
        <v>0</v>
      </c>
      <c r="Z138" s="3"/>
      <c r="AA138" s="3">
        <v>0</v>
      </c>
      <c r="AB138" s="3"/>
      <c r="AC138" s="3">
        <f t="shared" si="4"/>
        <v>512744.6099999999</v>
      </c>
      <c r="AD138" s="3"/>
      <c r="AE138" s="39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</row>
    <row r="139" spans="1:29" s="9" customFormat="1" ht="12" hidden="1">
      <c r="A139" s="9" t="s">
        <v>211</v>
      </c>
      <c r="C139" s="9" t="s">
        <v>207</v>
      </c>
      <c r="E139" s="9">
        <v>0</v>
      </c>
      <c r="G139" s="9">
        <v>0</v>
      </c>
      <c r="I139" s="9">
        <v>0</v>
      </c>
      <c r="K139" s="9">
        <v>0</v>
      </c>
      <c r="M139" s="9">
        <v>0</v>
      </c>
      <c r="O139" s="9">
        <v>0</v>
      </c>
      <c r="Q139" s="9">
        <v>0</v>
      </c>
      <c r="S139" s="9">
        <v>0</v>
      </c>
      <c r="U139" s="9">
        <v>0</v>
      </c>
      <c r="W139" s="9">
        <v>0</v>
      </c>
      <c r="Y139" s="9">
        <v>0</v>
      </c>
      <c r="AA139" s="9">
        <v>0</v>
      </c>
      <c r="AC139" s="3">
        <f t="shared" si="4"/>
        <v>0</v>
      </c>
    </row>
    <row r="140" spans="1:29" s="9" customFormat="1" ht="12" hidden="1">
      <c r="A140" s="9" t="s">
        <v>212</v>
      </c>
      <c r="C140" s="9" t="s">
        <v>57</v>
      </c>
      <c r="E140" s="9">
        <v>0</v>
      </c>
      <c r="G140" s="9">
        <v>0</v>
      </c>
      <c r="I140" s="9">
        <v>0</v>
      </c>
      <c r="K140" s="9">
        <v>0</v>
      </c>
      <c r="M140" s="9">
        <v>0</v>
      </c>
      <c r="O140" s="9">
        <v>0</v>
      </c>
      <c r="Q140" s="9">
        <v>0</v>
      </c>
      <c r="S140" s="9">
        <v>0</v>
      </c>
      <c r="U140" s="9">
        <v>0</v>
      </c>
      <c r="W140" s="9">
        <v>0</v>
      </c>
      <c r="Y140" s="9">
        <v>0</v>
      </c>
      <c r="AA140" s="9">
        <v>0</v>
      </c>
      <c r="AC140" s="9">
        <f t="shared" si="4"/>
        <v>0</v>
      </c>
    </row>
    <row r="141" spans="1:29" s="9" customFormat="1" ht="12" hidden="1">
      <c r="A141" s="9" t="s">
        <v>213</v>
      </c>
      <c r="C141" s="9" t="s">
        <v>64</v>
      </c>
      <c r="E141" s="9">
        <v>0</v>
      </c>
      <c r="G141" s="9">
        <v>0</v>
      </c>
      <c r="I141" s="9">
        <v>0</v>
      </c>
      <c r="K141" s="9">
        <v>0</v>
      </c>
      <c r="M141" s="9">
        <v>0</v>
      </c>
      <c r="O141" s="9">
        <v>0</v>
      </c>
      <c r="Q141" s="9">
        <v>0</v>
      </c>
      <c r="S141" s="9">
        <v>0</v>
      </c>
      <c r="U141" s="9">
        <v>0</v>
      </c>
      <c r="W141" s="9">
        <v>0</v>
      </c>
      <c r="Y141" s="9">
        <v>0</v>
      </c>
      <c r="AA141" s="9">
        <v>0</v>
      </c>
      <c r="AC141" s="9">
        <f t="shared" si="4"/>
        <v>0</v>
      </c>
    </row>
    <row r="142" spans="1:29" s="9" customFormat="1" ht="12">
      <c r="A142" s="9" t="s">
        <v>485</v>
      </c>
      <c r="C142" s="9" t="s">
        <v>21</v>
      </c>
      <c r="E142" s="3">
        <f>945064+1094311</f>
        <v>2039375</v>
      </c>
      <c r="F142" s="3"/>
      <c r="G142" s="3">
        <v>0</v>
      </c>
      <c r="H142" s="3"/>
      <c r="I142" s="3">
        <v>122594</v>
      </c>
      <c r="J142" s="3"/>
      <c r="K142" s="3">
        <v>57648</v>
      </c>
      <c r="L142" s="3"/>
      <c r="M142" s="3">
        <v>0</v>
      </c>
      <c r="N142" s="3"/>
      <c r="O142" s="3">
        <v>7957</v>
      </c>
      <c r="P142" s="3"/>
      <c r="Q142" s="3">
        <v>127579</v>
      </c>
      <c r="R142" s="3"/>
      <c r="S142" s="3">
        <v>3801</v>
      </c>
      <c r="T142" s="3"/>
      <c r="U142" s="3">
        <v>0</v>
      </c>
      <c r="V142" s="3"/>
      <c r="W142" s="3">
        <v>0</v>
      </c>
      <c r="X142" s="3"/>
      <c r="Y142" s="3">
        <v>0</v>
      </c>
      <c r="Z142" s="3"/>
      <c r="AA142" s="3">
        <v>0</v>
      </c>
      <c r="AC142" s="9">
        <f t="shared" si="4"/>
        <v>2358954</v>
      </c>
    </row>
    <row r="143" spans="1:29" s="3" customFormat="1" ht="12" hidden="1">
      <c r="A143" s="3" t="s">
        <v>216</v>
      </c>
      <c r="C143" s="3" t="s">
        <v>57</v>
      </c>
      <c r="E143" s="9">
        <v>0</v>
      </c>
      <c r="F143" s="9"/>
      <c r="G143" s="9">
        <v>0</v>
      </c>
      <c r="H143" s="9"/>
      <c r="I143" s="9">
        <v>0</v>
      </c>
      <c r="J143" s="9"/>
      <c r="K143" s="9">
        <v>0</v>
      </c>
      <c r="L143" s="9"/>
      <c r="M143" s="9">
        <v>0</v>
      </c>
      <c r="N143" s="9"/>
      <c r="O143" s="9">
        <v>0</v>
      </c>
      <c r="P143" s="9"/>
      <c r="Q143" s="9">
        <v>0</v>
      </c>
      <c r="R143" s="9"/>
      <c r="S143" s="9">
        <v>0</v>
      </c>
      <c r="T143" s="9"/>
      <c r="U143" s="9">
        <v>0</v>
      </c>
      <c r="V143" s="9"/>
      <c r="W143" s="9">
        <v>0</v>
      </c>
      <c r="X143" s="9"/>
      <c r="Y143" s="9">
        <v>0</v>
      </c>
      <c r="Z143" s="9"/>
      <c r="AA143" s="9">
        <v>0</v>
      </c>
      <c r="AC143" s="3">
        <f t="shared" si="4"/>
        <v>0</v>
      </c>
    </row>
    <row r="144" spans="1:29" s="3" customFormat="1" ht="12" hidden="1">
      <c r="A144" s="3" t="s">
        <v>217</v>
      </c>
      <c r="C144" s="3" t="s">
        <v>26</v>
      </c>
      <c r="E144" s="9">
        <v>0</v>
      </c>
      <c r="F144" s="9"/>
      <c r="G144" s="9">
        <v>0</v>
      </c>
      <c r="H144" s="9"/>
      <c r="I144" s="9">
        <v>0</v>
      </c>
      <c r="J144" s="9"/>
      <c r="K144" s="9">
        <v>0</v>
      </c>
      <c r="L144" s="9"/>
      <c r="M144" s="9">
        <v>0</v>
      </c>
      <c r="N144" s="9"/>
      <c r="O144" s="9">
        <v>0</v>
      </c>
      <c r="P144" s="9"/>
      <c r="Q144" s="9">
        <v>0</v>
      </c>
      <c r="R144" s="9"/>
      <c r="S144" s="9">
        <v>0</v>
      </c>
      <c r="T144" s="9"/>
      <c r="U144" s="9">
        <v>0</v>
      </c>
      <c r="V144" s="9"/>
      <c r="W144" s="9">
        <v>0</v>
      </c>
      <c r="X144" s="9"/>
      <c r="Y144" s="9">
        <v>0</v>
      </c>
      <c r="Z144" s="9"/>
      <c r="AA144" s="9">
        <v>0</v>
      </c>
      <c r="AC144" s="3">
        <f t="shared" si="4"/>
        <v>0</v>
      </c>
    </row>
    <row r="145" spans="1:63" s="3" customFormat="1" ht="12">
      <c r="A145" s="9" t="s">
        <v>146</v>
      </c>
      <c r="B145" s="9"/>
      <c r="C145" s="9" t="s">
        <v>60</v>
      </c>
      <c r="D145" s="9"/>
      <c r="E145" s="3">
        <v>914846</v>
      </c>
      <c r="G145" s="3">
        <v>2549974</v>
      </c>
      <c r="I145" s="3">
        <v>0</v>
      </c>
      <c r="K145" s="3">
        <v>107291</v>
      </c>
      <c r="M145" s="3">
        <v>0</v>
      </c>
      <c r="O145" s="3">
        <v>42788</v>
      </c>
      <c r="Q145" s="3">
        <v>194111</v>
      </c>
      <c r="S145" s="3">
        <v>3392</v>
      </c>
      <c r="U145" s="3">
        <v>0</v>
      </c>
      <c r="W145" s="3">
        <v>0</v>
      </c>
      <c r="Y145" s="3">
        <v>0</v>
      </c>
      <c r="AA145" s="3">
        <v>0</v>
      </c>
      <c r="AB145" s="9"/>
      <c r="AC145" s="9">
        <f t="shared" si="4"/>
        <v>3812402</v>
      </c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</row>
    <row r="146" spans="1:63" s="3" customFormat="1" ht="12">
      <c r="A146" s="9"/>
      <c r="B146" s="9"/>
      <c r="C146" s="9"/>
      <c r="D146" s="9"/>
      <c r="AB146" s="9"/>
      <c r="AC146" s="21" t="s">
        <v>8</v>
      </c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</row>
    <row r="147" spans="1:63" s="4" customFormat="1" ht="12">
      <c r="A147" s="20" t="s">
        <v>19</v>
      </c>
      <c r="B147" s="20"/>
      <c r="C147" s="20" t="s">
        <v>20</v>
      </c>
      <c r="D147" s="20"/>
      <c r="E147" s="4">
        <v>2692963</v>
      </c>
      <c r="G147" s="4">
        <v>0</v>
      </c>
      <c r="I147" s="4">
        <v>2418323</v>
      </c>
      <c r="K147" s="4">
        <v>139550</v>
      </c>
      <c r="M147" s="4">
        <v>0</v>
      </c>
      <c r="O147" s="4">
        <v>1338</v>
      </c>
      <c r="Q147" s="4">
        <v>238948</v>
      </c>
      <c r="S147" s="4">
        <v>7089</v>
      </c>
      <c r="U147" s="4">
        <v>0</v>
      </c>
      <c r="W147" s="4">
        <v>0</v>
      </c>
      <c r="Y147" s="4">
        <v>0</v>
      </c>
      <c r="AA147" s="4">
        <v>0</v>
      </c>
      <c r="AB147" s="20"/>
      <c r="AC147" s="20">
        <f aca="true" t="shared" si="5" ref="AC147:AC178">SUM(E147:AA147)</f>
        <v>5498211</v>
      </c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</row>
    <row r="148" spans="1:29" s="3" customFormat="1" ht="12" hidden="1">
      <c r="A148" s="3" t="s">
        <v>218</v>
      </c>
      <c r="C148" s="3" t="s">
        <v>150</v>
      </c>
      <c r="E148" s="9">
        <v>0</v>
      </c>
      <c r="F148" s="9"/>
      <c r="G148" s="9">
        <v>0</v>
      </c>
      <c r="H148" s="9"/>
      <c r="I148" s="9">
        <v>0</v>
      </c>
      <c r="J148" s="9"/>
      <c r="K148" s="9">
        <v>0</v>
      </c>
      <c r="L148" s="9"/>
      <c r="M148" s="9">
        <v>0</v>
      </c>
      <c r="N148" s="9"/>
      <c r="O148" s="9">
        <v>0</v>
      </c>
      <c r="P148" s="9"/>
      <c r="Q148" s="9">
        <v>0</v>
      </c>
      <c r="R148" s="9"/>
      <c r="S148" s="9">
        <v>0</v>
      </c>
      <c r="T148" s="9"/>
      <c r="U148" s="9">
        <v>0</v>
      </c>
      <c r="V148" s="9"/>
      <c r="W148" s="9">
        <v>0</v>
      </c>
      <c r="X148" s="9"/>
      <c r="Y148" s="9">
        <v>0</v>
      </c>
      <c r="Z148" s="9"/>
      <c r="AA148" s="9">
        <v>0</v>
      </c>
      <c r="AC148" s="3">
        <f t="shared" si="5"/>
        <v>0</v>
      </c>
    </row>
    <row r="149" spans="1:29" s="3" customFormat="1" ht="12" hidden="1">
      <c r="A149" s="3" t="s">
        <v>219</v>
      </c>
      <c r="C149" s="3" t="s">
        <v>65</v>
      </c>
      <c r="E149" s="9">
        <v>0</v>
      </c>
      <c r="F149" s="9"/>
      <c r="G149" s="9">
        <v>0</v>
      </c>
      <c r="H149" s="9"/>
      <c r="I149" s="9">
        <v>0</v>
      </c>
      <c r="J149" s="9"/>
      <c r="K149" s="9">
        <v>0</v>
      </c>
      <c r="L149" s="9"/>
      <c r="M149" s="9">
        <v>0</v>
      </c>
      <c r="N149" s="9"/>
      <c r="O149" s="9">
        <v>0</v>
      </c>
      <c r="P149" s="9"/>
      <c r="Q149" s="9">
        <v>0</v>
      </c>
      <c r="R149" s="9"/>
      <c r="S149" s="9">
        <v>0</v>
      </c>
      <c r="T149" s="9"/>
      <c r="U149" s="9">
        <v>0</v>
      </c>
      <c r="V149" s="9"/>
      <c r="W149" s="9">
        <v>0</v>
      </c>
      <c r="X149" s="9"/>
      <c r="Y149" s="9">
        <v>0</v>
      </c>
      <c r="Z149" s="9"/>
      <c r="AA149" s="9">
        <v>0</v>
      </c>
      <c r="AC149" s="3">
        <f t="shared" si="5"/>
        <v>0</v>
      </c>
    </row>
    <row r="150" spans="1:63" s="3" customFormat="1" ht="12">
      <c r="A150" s="3" t="s">
        <v>147</v>
      </c>
      <c r="C150" s="3" t="s">
        <v>45</v>
      </c>
      <c r="E150" s="3">
        <v>0</v>
      </c>
      <c r="G150" s="3">
        <v>324508.04</v>
      </c>
      <c r="I150" s="3">
        <v>0</v>
      </c>
      <c r="K150" s="3">
        <v>8286.77</v>
      </c>
      <c r="M150" s="3">
        <v>0</v>
      </c>
      <c r="O150" s="3">
        <v>4714.53</v>
      </c>
      <c r="Q150" s="3">
        <v>2460.62</v>
      </c>
      <c r="S150" s="3">
        <v>10199.52</v>
      </c>
      <c r="U150" s="3">
        <v>0</v>
      </c>
      <c r="W150" s="3">
        <v>0</v>
      </c>
      <c r="Y150" s="3">
        <v>0</v>
      </c>
      <c r="AA150" s="3">
        <v>0</v>
      </c>
      <c r="AC150" s="3">
        <f t="shared" si="5"/>
        <v>350169.48000000004</v>
      </c>
      <c r="AE150" s="39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</row>
    <row r="151" spans="1:29" s="3" customFormat="1" ht="12" hidden="1">
      <c r="A151" s="3" t="s">
        <v>15</v>
      </c>
      <c r="C151" s="3" t="s">
        <v>16</v>
      </c>
      <c r="E151" s="9">
        <v>0</v>
      </c>
      <c r="F151" s="9"/>
      <c r="G151" s="9">
        <v>0</v>
      </c>
      <c r="H151" s="9"/>
      <c r="I151" s="9">
        <v>0</v>
      </c>
      <c r="J151" s="9"/>
      <c r="K151" s="9">
        <v>0</v>
      </c>
      <c r="L151" s="9"/>
      <c r="M151" s="9">
        <v>0</v>
      </c>
      <c r="N151" s="9"/>
      <c r="O151" s="9">
        <v>0</v>
      </c>
      <c r="P151" s="9"/>
      <c r="Q151" s="9">
        <v>0</v>
      </c>
      <c r="R151" s="9"/>
      <c r="S151" s="9">
        <v>0</v>
      </c>
      <c r="T151" s="9"/>
      <c r="U151" s="9">
        <v>0</v>
      </c>
      <c r="V151" s="9"/>
      <c r="W151" s="9">
        <v>0</v>
      </c>
      <c r="X151" s="9"/>
      <c r="Y151" s="9">
        <v>0</v>
      </c>
      <c r="Z151" s="9"/>
      <c r="AA151" s="9">
        <v>0</v>
      </c>
      <c r="AC151" s="3">
        <f t="shared" si="5"/>
        <v>0</v>
      </c>
    </row>
    <row r="152" spans="1:29" s="3" customFormat="1" ht="12" hidden="1">
      <c r="A152" s="3" t="s">
        <v>221</v>
      </c>
      <c r="C152" s="3" t="s">
        <v>53</v>
      </c>
      <c r="E152" s="9">
        <v>0</v>
      </c>
      <c r="F152" s="9"/>
      <c r="G152" s="9">
        <v>0</v>
      </c>
      <c r="H152" s="9"/>
      <c r="I152" s="9">
        <v>0</v>
      </c>
      <c r="J152" s="9"/>
      <c r="K152" s="9">
        <v>0</v>
      </c>
      <c r="L152" s="9"/>
      <c r="M152" s="9">
        <v>0</v>
      </c>
      <c r="N152" s="9"/>
      <c r="O152" s="9">
        <v>0</v>
      </c>
      <c r="P152" s="9"/>
      <c r="Q152" s="9">
        <v>0</v>
      </c>
      <c r="R152" s="9"/>
      <c r="S152" s="9">
        <v>0</v>
      </c>
      <c r="T152" s="9"/>
      <c r="U152" s="9">
        <v>0</v>
      </c>
      <c r="V152" s="9"/>
      <c r="W152" s="9">
        <v>0</v>
      </c>
      <c r="X152" s="9"/>
      <c r="Y152" s="9">
        <v>0</v>
      </c>
      <c r="Z152" s="9"/>
      <c r="AA152" s="9">
        <v>0</v>
      </c>
      <c r="AC152" s="3">
        <f t="shared" si="5"/>
        <v>0</v>
      </c>
    </row>
    <row r="153" spans="1:63" s="3" customFormat="1" ht="12">
      <c r="A153" s="9" t="s">
        <v>496</v>
      </c>
      <c r="B153" s="9"/>
      <c r="C153" s="9" t="s">
        <v>70</v>
      </c>
      <c r="D153" s="9"/>
      <c r="E153" s="3">
        <v>920554</v>
      </c>
      <c r="G153" s="3">
        <v>2855370</v>
      </c>
      <c r="I153" s="3">
        <v>7966</v>
      </c>
      <c r="K153" s="3">
        <v>171036</v>
      </c>
      <c r="M153" s="3">
        <v>0</v>
      </c>
      <c r="O153" s="3">
        <v>3809</v>
      </c>
      <c r="Q153" s="3">
        <v>48502</v>
      </c>
      <c r="S153" s="3">
        <v>6644</v>
      </c>
      <c r="T153" s="9"/>
      <c r="U153" s="9">
        <v>0</v>
      </c>
      <c r="V153" s="9"/>
      <c r="W153" s="9">
        <v>268024</v>
      </c>
      <c r="X153" s="9"/>
      <c r="Y153" s="9">
        <v>0</v>
      </c>
      <c r="Z153" s="9"/>
      <c r="AA153" s="9">
        <v>0</v>
      </c>
      <c r="AB153" s="9"/>
      <c r="AC153" s="9">
        <f t="shared" si="5"/>
        <v>4281905</v>
      </c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29" s="3" customFormat="1" ht="12" hidden="1">
      <c r="A154" s="3" t="s">
        <v>223</v>
      </c>
      <c r="C154" s="3" t="s">
        <v>182</v>
      </c>
      <c r="E154" s="9">
        <v>0</v>
      </c>
      <c r="F154" s="9"/>
      <c r="G154" s="9">
        <v>0</v>
      </c>
      <c r="H154" s="9"/>
      <c r="I154" s="9">
        <v>0</v>
      </c>
      <c r="J154" s="9"/>
      <c r="K154" s="9">
        <v>0</v>
      </c>
      <c r="L154" s="9"/>
      <c r="M154" s="9">
        <v>0</v>
      </c>
      <c r="N154" s="9"/>
      <c r="O154" s="9">
        <v>0</v>
      </c>
      <c r="P154" s="9"/>
      <c r="Q154" s="9">
        <v>0</v>
      </c>
      <c r="R154" s="9"/>
      <c r="S154" s="9">
        <v>0</v>
      </c>
      <c r="T154" s="9"/>
      <c r="U154" s="9">
        <v>0</v>
      </c>
      <c r="V154" s="9"/>
      <c r="W154" s="9">
        <v>0</v>
      </c>
      <c r="X154" s="9"/>
      <c r="Y154" s="9">
        <v>0</v>
      </c>
      <c r="Z154" s="9"/>
      <c r="AA154" s="9">
        <v>0</v>
      </c>
      <c r="AC154" s="3">
        <f t="shared" si="5"/>
        <v>0</v>
      </c>
    </row>
    <row r="155" spans="1:29" s="3" customFormat="1" ht="12" hidden="1">
      <c r="A155" s="3" t="s">
        <v>224</v>
      </c>
      <c r="C155" s="3" t="s">
        <v>56</v>
      </c>
      <c r="E155" s="9">
        <v>0</v>
      </c>
      <c r="F155" s="9"/>
      <c r="G155" s="9">
        <v>0</v>
      </c>
      <c r="H155" s="9"/>
      <c r="I155" s="9">
        <v>0</v>
      </c>
      <c r="J155" s="9"/>
      <c r="K155" s="9">
        <v>0</v>
      </c>
      <c r="L155" s="9"/>
      <c r="M155" s="9">
        <v>0</v>
      </c>
      <c r="N155" s="9"/>
      <c r="O155" s="9">
        <v>0</v>
      </c>
      <c r="P155" s="9"/>
      <c r="Q155" s="9">
        <v>0</v>
      </c>
      <c r="R155" s="9"/>
      <c r="S155" s="9">
        <v>0</v>
      </c>
      <c r="T155" s="9"/>
      <c r="U155" s="9">
        <v>0</v>
      </c>
      <c r="V155" s="9"/>
      <c r="W155" s="9">
        <v>0</v>
      </c>
      <c r="X155" s="9"/>
      <c r="Y155" s="9">
        <v>0</v>
      </c>
      <c r="Z155" s="9"/>
      <c r="AA155" s="9">
        <v>0</v>
      </c>
      <c r="AC155" s="3">
        <f t="shared" si="5"/>
        <v>0</v>
      </c>
    </row>
    <row r="156" spans="1:29" s="3" customFormat="1" ht="12" hidden="1">
      <c r="A156" s="3" t="s">
        <v>225</v>
      </c>
      <c r="C156" s="3" t="s">
        <v>26</v>
      </c>
      <c r="E156" s="9">
        <v>0</v>
      </c>
      <c r="F156" s="9"/>
      <c r="G156" s="9">
        <v>0</v>
      </c>
      <c r="H156" s="9"/>
      <c r="I156" s="9">
        <v>0</v>
      </c>
      <c r="J156" s="9"/>
      <c r="K156" s="9">
        <v>0</v>
      </c>
      <c r="L156" s="9"/>
      <c r="M156" s="9">
        <v>0</v>
      </c>
      <c r="N156" s="9"/>
      <c r="O156" s="9">
        <v>0</v>
      </c>
      <c r="P156" s="9"/>
      <c r="Q156" s="9">
        <v>0</v>
      </c>
      <c r="R156" s="9"/>
      <c r="S156" s="9">
        <v>0</v>
      </c>
      <c r="T156" s="9"/>
      <c r="U156" s="9">
        <v>0</v>
      </c>
      <c r="V156" s="9"/>
      <c r="W156" s="9">
        <v>0</v>
      </c>
      <c r="X156" s="9"/>
      <c r="Y156" s="9">
        <v>0</v>
      </c>
      <c r="Z156" s="9"/>
      <c r="AA156" s="9">
        <v>0</v>
      </c>
      <c r="AC156" s="3">
        <f t="shared" si="5"/>
        <v>0</v>
      </c>
    </row>
    <row r="157" spans="1:29" s="3" customFormat="1" ht="12" hidden="1">
      <c r="A157" s="3" t="s">
        <v>226</v>
      </c>
      <c r="C157" s="3" t="s">
        <v>66</v>
      </c>
      <c r="E157" s="9">
        <v>0</v>
      </c>
      <c r="F157" s="9"/>
      <c r="G157" s="9">
        <v>0</v>
      </c>
      <c r="H157" s="9"/>
      <c r="I157" s="9">
        <v>0</v>
      </c>
      <c r="J157" s="9"/>
      <c r="K157" s="9">
        <v>0</v>
      </c>
      <c r="L157" s="9"/>
      <c r="M157" s="9">
        <v>0</v>
      </c>
      <c r="N157" s="9"/>
      <c r="O157" s="9">
        <v>0</v>
      </c>
      <c r="P157" s="9"/>
      <c r="Q157" s="9">
        <v>0</v>
      </c>
      <c r="R157" s="9"/>
      <c r="S157" s="9">
        <v>0</v>
      </c>
      <c r="T157" s="9"/>
      <c r="U157" s="9">
        <v>0</v>
      </c>
      <c r="V157" s="9"/>
      <c r="W157" s="9">
        <v>0</v>
      </c>
      <c r="X157" s="9"/>
      <c r="Y157" s="9">
        <v>0</v>
      </c>
      <c r="Z157" s="9"/>
      <c r="AA157" s="9">
        <v>0</v>
      </c>
      <c r="AC157" s="3">
        <f t="shared" si="5"/>
        <v>0</v>
      </c>
    </row>
    <row r="158" spans="1:29" s="3" customFormat="1" ht="12" hidden="1">
      <c r="A158" s="3" t="s">
        <v>227</v>
      </c>
      <c r="C158" s="3" t="s">
        <v>27</v>
      </c>
      <c r="E158" s="9">
        <v>0</v>
      </c>
      <c r="F158" s="9"/>
      <c r="G158" s="9">
        <v>0</v>
      </c>
      <c r="H158" s="9"/>
      <c r="I158" s="9">
        <v>0</v>
      </c>
      <c r="J158" s="9"/>
      <c r="K158" s="9">
        <v>0</v>
      </c>
      <c r="L158" s="9"/>
      <c r="M158" s="9">
        <v>0</v>
      </c>
      <c r="N158" s="9"/>
      <c r="O158" s="9">
        <v>0</v>
      </c>
      <c r="P158" s="9"/>
      <c r="Q158" s="9">
        <v>0</v>
      </c>
      <c r="R158" s="9"/>
      <c r="S158" s="9">
        <v>0</v>
      </c>
      <c r="T158" s="9"/>
      <c r="U158" s="9">
        <v>0</v>
      </c>
      <c r="V158" s="9"/>
      <c r="W158" s="9">
        <v>0</v>
      </c>
      <c r="X158" s="9"/>
      <c r="Y158" s="9">
        <v>0</v>
      </c>
      <c r="Z158" s="9"/>
      <c r="AA158" s="9">
        <v>0</v>
      </c>
      <c r="AC158" s="3">
        <f t="shared" si="5"/>
        <v>0</v>
      </c>
    </row>
    <row r="159" spans="1:63" s="3" customFormat="1" ht="12">
      <c r="A159" s="9" t="s">
        <v>148</v>
      </c>
      <c r="B159" s="9"/>
      <c r="C159" s="9" t="s">
        <v>16</v>
      </c>
      <c r="D159" s="9"/>
      <c r="E159" s="3">
        <v>118957</v>
      </c>
      <c r="G159" s="3">
        <v>298193</v>
      </c>
      <c r="I159" s="3">
        <v>0</v>
      </c>
      <c r="K159" s="3">
        <v>3435</v>
      </c>
      <c r="M159" s="3">
        <v>0</v>
      </c>
      <c r="O159" s="3">
        <v>860</v>
      </c>
      <c r="Q159" s="3">
        <v>15664</v>
      </c>
      <c r="S159" s="3">
        <v>7971</v>
      </c>
      <c r="T159" s="9"/>
      <c r="U159" s="9">
        <v>0</v>
      </c>
      <c r="V159" s="9"/>
      <c r="W159" s="9">
        <v>20000</v>
      </c>
      <c r="X159" s="9"/>
      <c r="Y159" s="9">
        <v>0</v>
      </c>
      <c r="Z159" s="9"/>
      <c r="AA159" s="9">
        <v>0</v>
      </c>
      <c r="AB159" s="9"/>
      <c r="AC159" s="9">
        <f t="shared" si="5"/>
        <v>465080</v>
      </c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</row>
    <row r="160" spans="1:63" s="3" customFormat="1" ht="12">
      <c r="A160" s="9" t="s">
        <v>149</v>
      </c>
      <c r="B160" s="9"/>
      <c r="C160" s="9" t="s">
        <v>150</v>
      </c>
      <c r="D160" s="9"/>
      <c r="E160" s="3">
        <v>0</v>
      </c>
      <c r="G160" s="3">
        <v>0</v>
      </c>
      <c r="I160" s="3">
        <v>2513324</v>
      </c>
      <c r="K160" s="3">
        <v>73231</v>
      </c>
      <c r="M160" s="3">
        <v>0</v>
      </c>
      <c r="O160" s="3">
        <v>40017</v>
      </c>
      <c r="Q160" s="3">
        <v>92259</v>
      </c>
      <c r="S160" s="3">
        <v>66159</v>
      </c>
      <c r="T160" s="9"/>
      <c r="U160" s="9">
        <v>0</v>
      </c>
      <c r="V160" s="9"/>
      <c r="W160" s="9">
        <v>210000</v>
      </c>
      <c r="X160" s="9"/>
      <c r="Y160" s="9">
        <v>0</v>
      </c>
      <c r="Z160" s="9"/>
      <c r="AA160" s="9">
        <v>0</v>
      </c>
      <c r="AB160" s="9"/>
      <c r="AC160" s="9">
        <f t="shared" si="5"/>
        <v>2994990</v>
      </c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</row>
    <row r="161" spans="1:63" s="3" customFormat="1" ht="12">
      <c r="A161" s="3" t="s">
        <v>522</v>
      </c>
      <c r="C161" s="3" t="s">
        <v>150</v>
      </c>
      <c r="E161" s="3">
        <v>0</v>
      </c>
      <c r="G161" s="3">
        <v>2513323.86</v>
      </c>
      <c r="I161" s="3">
        <v>0</v>
      </c>
      <c r="K161" s="3">
        <v>73230.62</v>
      </c>
      <c r="M161" s="3">
        <v>0</v>
      </c>
      <c r="O161" s="3">
        <v>35515.92</v>
      </c>
      <c r="Q161" s="3">
        <v>92259.11</v>
      </c>
      <c r="S161" s="3">
        <v>570660.3</v>
      </c>
      <c r="U161" s="3">
        <v>0</v>
      </c>
      <c r="W161" s="3">
        <v>210000</v>
      </c>
      <c r="Y161" s="3">
        <v>0</v>
      </c>
      <c r="AA161" s="3">
        <v>0</v>
      </c>
      <c r="AC161" s="3">
        <f t="shared" si="5"/>
        <v>3494989.8099999996</v>
      </c>
      <c r="AE161" s="39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</row>
    <row r="162" spans="1:63" s="3" customFormat="1" ht="12">
      <c r="A162" s="3" t="s">
        <v>151</v>
      </c>
      <c r="C162" s="3" t="s">
        <v>56</v>
      </c>
      <c r="E162" s="3">
        <v>0</v>
      </c>
      <c r="G162" s="3">
        <v>799936.08</v>
      </c>
      <c r="I162" s="3">
        <v>0</v>
      </c>
      <c r="K162" s="3">
        <v>16245.39</v>
      </c>
      <c r="M162" s="3">
        <v>0</v>
      </c>
      <c r="O162" s="3">
        <v>33010.66</v>
      </c>
      <c r="Q162" s="3">
        <v>36680.1</v>
      </c>
      <c r="S162" s="3">
        <v>2262.29</v>
      </c>
      <c r="U162" s="3">
        <v>0</v>
      </c>
      <c r="W162" s="3">
        <v>0</v>
      </c>
      <c r="Y162" s="3">
        <v>0</v>
      </c>
      <c r="AA162" s="3">
        <v>0</v>
      </c>
      <c r="AC162" s="3">
        <f t="shared" si="5"/>
        <v>888134.52</v>
      </c>
      <c r="AE162" s="39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</row>
    <row r="163" spans="1:29" s="3" customFormat="1" ht="12" hidden="1">
      <c r="A163" s="3" t="s">
        <v>233</v>
      </c>
      <c r="C163" s="3" t="s">
        <v>13</v>
      </c>
      <c r="E163" s="9">
        <v>0</v>
      </c>
      <c r="F163" s="9"/>
      <c r="G163" s="9">
        <v>0</v>
      </c>
      <c r="H163" s="9"/>
      <c r="I163" s="9">
        <v>0</v>
      </c>
      <c r="J163" s="9"/>
      <c r="K163" s="9">
        <v>0</v>
      </c>
      <c r="L163" s="9"/>
      <c r="M163" s="9">
        <v>0</v>
      </c>
      <c r="N163" s="9"/>
      <c r="O163" s="9">
        <v>0</v>
      </c>
      <c r="P163" s="9"/>
      <c r="Q163" s="9">
        <v>0</v>
      </c>
      <c r="R163" s="9"/>
      <c r="S163" s="9">
        <v>0</v>
      </c>
      <c r="T163" s="9"/>
      <c r="U163" s="9">
        <v>0</v>
      </c>
      <c r="V163" s="9"/>
      <c r="W163" s="9">
        <v>0</v>
      </c>
      <c r="X163" s="9"/>
      <c r="Y163" s="9">
        <v>0</v>
      </c>
      <c r="Z163" s="9"/>
      <c r="AA163" s="9">
        <v>0</v>
      </c>
      <c r="AC163" s="3">
        <f t="shared" si="5"/>
        <v>0</v>
      </c>
    </row>
    <row r="164" spans="1:63" s="9" customFormat="1" ht="12">
      <c r="A164" s="3" t="s">
        <v>152</v>
      </c>
      <c r="B164" s="3"/>
      <c r="C164" s="3" t="s">
        <v>64</v>
      </c>
      <c r="D164" s="3"/>
      <c r="E164" s="3">
        <v>0</v>
      </c>
      <c r="F164" s="3"/>
      <c r="G164" s="3">
        <v>110044.51</v>
      </c>
      <c r="H164" s="3"/>
      <c r="I164" s="3">
        <v>155.8</v>
      </c>
      <c r="J164" s="3"/>
      <c r="K164" s="3">
        <v>2749.73</v>
      </c>
      <c r="L164" s="3"/>
      <c r="M164" s="3">
        <v>0</v>
      </c>
      <c r="N164" s="3"/>
      <c r="O164" s="3">
        <v>10857.2</v>
      </c>
      <c r="P164" s="3"/>
      <c r="Q164" s="3">
        <v>1985.12</v>
      </c>
      <c r="R164" s="3"/>
      <c r="S164" s="3">
        <v>815.66</v>
      </c>
      <c r="T164" s="3"/>
      <c r="U164" s="3">
        <v>0</v>
      </c>
      <c r="V164" s="3"/>
      <c r="W164" s="3">
        <v>0</v>
      </c>
      <c r="X164" s="3"/>
      <c r="Y164" s="3">
        <v>0</v>
      </c>
      <c r="Z164" s="3"/>
      <c r="AA164" s="3">
        <v>0</v>
      </c>
      <c r="AB164" s="3"/>
      <c r="AC164" s="3">
        <f t="shared" si="5"/>
        <v>126608.01999999999</v>
      </c>
      <c r="AD164" s="3"/>
      <c r="AE164" s="39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</row>
    <row r="165" spans="1:63" s="3" customFormat="1" ht="12">
      <c r="A165" s="9" t="s">
        <v>153</v>
      </c>
      <c r="B165" s="9"/>
      <c r="C165" s="9" t="s">
        <v>53</v>
      </c>
      <c r="D165" s="9"/>
      <c r="E165" s="3">
        <v>0</v>
      </c>
      <c r="G165" s="3">
        <v>112212</v>
      </c>
      <c r="I165" s="3">
        <v>0</v>
      </c>
      <c r="K165" s="3">
        <v>2460</v>
      </c>
      <c r="M165" s="3">
        <v>0</v>
      </c>
      <c r="O165" s="3">
        <v>8557</v>
      </c>
      <c r="Q165" s="3">
        <v>393</v>
      </c>
      <c r="S165" s="3">
        <v>1368</v>
      </c>
      <c r="T165" s="9"/>
      <c r="U165" s="9">
        <v>0</v>
      </c>
      <c r="V165" s="9"/>
      <c r="W165" s="9">
        <v>0</v>
      </c>
      <c r="X165" s="9"/>
      <c r="Y165" s="9">
        <v>0</v>
      </c>
      <c r="Z165" s="9"/>
      <c r="AA165" s="9">
        <v>0</v>
      </c>
      <c r="AB165" s="9"/>
      <c r="AC165" s="9">
        <f t="shared" si="5"/>
        <v>124990</v>
      </c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</row>
    <row r="166" spans="1:63" s="3" customFormat="1" ht="12">
      <c r="A166" s="3" t="s">
        <v>154</v>
      </c>
      <c r="C166" s="3" t="s">
        <v>57</v>
      </c>
      <c r="E166" s="3">
        <v>0</v>
      </c>
      <c r="G166" s="3">
        <v>1325554.09</v>
      </c>
      <c r="I166" s="3">
        <v>0</v>
      </c>
      <c r="K166" s="3">
        <v>57307.71</v>
      </c>
      <c r="M166" s="3">
        <v>0</v>
      </c>
      <c r="O166" s="3">
        <v>14607.59</v>
      </c>
      <c r="Q166" s="3">
        <v>94997.27</v>
      </c>
      <c r="S166" s="3">
        <v>3619.81</v>
      </c>
      <c r="U166" s="3">
        <v>0</v>
      </c>
      <c r="W166" s="3">
        <v>0</v>
      </c>
      <c r="Y166" s="3">
        <v>0</v>
      </c>
      <c r="AA166" s="3">
        <v>0</v>
      </c>
      <c r="AC166" s="3">
        <f t="shared" si="5"/>
        <v>1496086.4700000002</v>
      </c>
      <c r="AE166" s="39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</row>
    <row r="167" spans="1:63" s="3" customFormat="1" ht="12">
      <c r="A167" s="3" t="s">
        <v>155</v>
      </c>
      <c r="C167" s="3" t="s">
        <v>55</v>
      </c>
      <c r="E167" s="3">
        <v>0</v>
      </c>
      <c r="G167" s="3">
        <v>639805.99</v>
      </c>
      <c r="I167" s="3">
        <v>0</v>
      </c>
      <c r="K167" s="3">
        <v>20009.22</v>
      </c>
      <c r="M167" s="3">
        <v>55</v>
      </c>
      <c r="O167" s="3">
        <v>26833.43</v>
      </c>
      <c r="Q167" s="3">
        <v>71544.72</v>
      </c>
      <c r="S167" s="3">
        <v>853.45</v>
      </c>
      <c r="U167" s="3">
        <v>1321.65</v>
      </c>
      <c r="W167" s="3">
        <v>0</v>
      </c>
      <c r="Y167" s="3">
        <v>0</v>
      </c>
      <c r="AA167" s="3">
        <v>0</v>
      </c>
      <c r="AC167" s="3">
        <f t="shared" si="5"/>
        <v>760423.46</v>
      </c>
      <c r="AE167" s="39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</row>
    <row r="168" spans="1:29" s="3" customFormat="1" ht="12" hidden="1">
      <c r="A168" s="3" t="s">
        <v>236</v>
      </c>
      <c r="C168" s="3" t="s">
        <v>237</v>
      </c>
      <c r="E168" s="9">
        <v>0</v>
      </c>
      <c r="F168" s="9"/>
      <c r="G168" s="9">
        <v>0</v>
      </c>
      <c r="H168" s="9"/>
      <c r="I168" s="9">
        <v>0</v>
      </c>
      <c r="J168" s="9"/>
      <c r="K168" s="9">
        <v>0</v>
      </c>
      <c r="L168" s="9"/>
      <c r="M168" s="9">
        <v>0</v>
      </c>
      <c r="N168" s="9"/>
      <c r="O168" s="9">
        <v>0</v>
      </c>
      <c r="P168" s="9"/>
      <c r="Q168" s="9">
        <v>0</v>
      </c>
      <c r="R168" s="9"/>
      <c r="S168" s="9">
        <v>0</v>
      </c>
      <c r="T168" s="9"/>
      <c r="U168" s="9">
        <v>0</v>
      </c>
      <c r="V168" s="9"/>
      <c r="W168" s="9">
        <v>0</v>
      </c>
      <c r="X168" s="9"/>
      <c r="Y168" s="9">
        <v>0</v>
      </c>
      <c r="Z168" s="9"/>
      <c r="AA168" s="9">
        <v>0</v>
      </c>
      <c r="AC168" s="3">
        <f t="shared" si="5"/>
        <v>0</v>
      </c>
    </row>
    <row r="169" spans="1:29" s="3" customFormat="1" ht="12" hidden="1">
      <c r="A169" s="3" t="s">
        <v>238</v>
      </c>
      <c r="C169" s="3" t="s">
        <v>123</v>
      </c>
      <c r="E169" s="9">
        <v>0</v>
      </c>
      <c r="F169" s="9"/>
      <c r="G169" s="9">
        <v>0</v>
      </c>
      <c r="H169" s="9"/>
      <c r="I169" s="9">
        <v>0</v>
      </c>
      <c r="J169" s="9"/>
      <c r="K169" s="9">
        <v>0</v>
      </c>
      <c r="L169" s="9"/>
      <c r="M169" s="9">
        <v>0</v>
      </c>
      <c r="N169" s="9"/>
      <c r="O169" s="9">
        <v>0</v>
      </c>
      <c r="P169" s="9"/>
      <c r="Q169" s="9">
        <v>0</v>
      </c>
      <c r="R169" s="9"/>
      <c r="S169" s="9">
        <v>0</v>
      </c>
      <c r="T169" s="9"/>
      <c r="U169" s="9">
        <v>0</v>
      </c>
      <c r="V169" s="9"/>
      <c r="W169" s="9">
        <v>0</v>
      </c>
      <c r="X169" s="9"/>
      <c r="Y169" s="9">
        <v>0</v>
      </c>
      <c r="Z169" s="9"/>
      <c r="AA169" s="9">
        <v>0</v>
      </c>
      <c r="AC169" s="3">
        <f t="shared" si="5"/>
        <v>0</v>
      </c>
    </row>
    <row r="170" spans="1:63" s="3" customFormat="1" ht="12">
      <c r="A170" s="9" t="s">
        <v>156</v>
      </c>
      <c r="B170" s="9"/>
      <c r="C170" s="9" t="s">
        <v>157</v>
      </c>
      <c r="D170" s="9"/>
      <c r="E170" s="3">
        <v>0</v>
      </c>
      <c r="G170" s="3">
        <v>968644</v>
      </c>
      <c r="I170" s="3">
        <v>0</v>
      </c>
      <c r="K170" s="3">
        <v>32200</v>
      </c>
      <c r="M170" s="3">
        <v>0</v>
      </c>
      <c r="O170" s="3">
        <v>8470</v>
      </c>
      <c r="Q170" s="3">
        <v>25602</v>
      </c>
      <c r="S170" s="3">
        <v>23228</v>
      </c>
      <c r="U170" s="3">
        <v>0</v>
      </c>
      <c r="W170" s="3">
        <v>0</v>
      </c>
      <c r="Y170" s="3">
        <v>0</v>
      </c>
      <c r="AA170" s="3">
        <v>0</v>
      </c>
      <c r="AB170" s="9"/>
      <c r="AC170" s="9">
        <f t="shared" si="5"/>
        <v>1058144</v>
      </c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</row>
    <row r="171" spans="1:29" s="3" customFormat="1" ht="12" hidden="1">
      <c r="A171" s="3" t="s">
        <v>239</v>
      </c>
      <c r="C171" s="3" t="s">
        <v>84</v>
      </c>
      <c r="E171" s="9">
        <v>0</v>
      </c>
      <c r="F171" s="9"/>
      <c r="G171" s="9">
        <v>0</v>
      </c>
      <c r="H171" s="9"/>
      <c r="I171" s="9">
        <v>0</v>
      </c>
      <c r="J171" s="9"/>
      <c r="K171" s="9">
        <v>0</v>
      </c>
      <c r="L171" s="9"/>
      <c r="M171" s="9">
        <v>0</v>
      </c>
      <c r="N171" s="9"/>
      <c r="O171" s="9">
        <v>0</v>
      </c>
      <c r="P171" s="9"/>
      <c r="Q171" s="9">
        <v>0</v>
      </c>
      <c r="R171" s="9"/>
      <c r="S171" s="9">
        <v>0</v>
      </c>
      <c r="T171" s="9"/>
      <c r="U171" s="9">
        <v>0</v>
      </c>
      <c r="V171" s="9"/>
      <c r="W171" s="9">
        <v>0</v>
      </c>
      <c r="X171" s="9"/>
      <c r="Y171" s="9">
        <v>0</v>
      </c>
      <c r="Z171" s="9"/>
      <c r="AA171" s="9">
        <v>0</v>
      </c>
      <c r="AC171" s="3">
        <f t="shared" si="5"/>
        <v>0</v>
      </c>
    </row>
    <row r="172" spans="1:29" s="3" customFormat="1" ht="12" hidden="1">
      <c r="A172" s="3" t="s">
        <v>240</v>
      </c>
      <c r="C172" s="3" t="s">
        <v>69</v>
      </c>
      <c r="E172" s="9">
        <v>0</v>
      </c>
      <c r="F172" s="9"/>
      <c r="G172" s="9">
        <v>0</v>
      </c>
      <c r="H172" s="9"/>
      <c r="I172" s="9">
        <v>0</v>
      </c>
      <c r="J172" s="9"/>
      <c r="K172" s="9">
        <v>0</v>
      </c>
      <c r="L172" s="9"/>
      <c r="M172" s="9">
        <v>0</v>
      </c>
      <c r="N172" s="9"/>
      <c r="O172" s="9">
        <v>0</v>
      </c>
      <c r="P172" s="9"/>
      <c r="Q172" s="9">
        <v>0</v>
      </c>
      <c r="R172" s="9"/>
      <c r="S172" s="9">
        <v>0</v>
      </c>
      <c r="T172" s="9"/>
      <c r="U172" s="9">
        <v>0</v>
      </c>
      <c r="V172" s="9"/>
      <c r="W172" s="9">
        <v>0</v>
      </c>
      <c r="X172" s="9"/>
      <c r="Y172" s="9">
        <v>0</v>
      </c>
      <c r="Z172" s="9"/>
      <c r="AA172" s="9">
        <v>0</v>
      </c>
      <c r="AC172" s="3">
        <f t="shared" si="5"/>
        <v>0</v>
      </c>
    </row>
    <row r="173" spans="1:63" s="3" customFormat="1" ht="12">
      <c r="A173" s="9" t="s">
        <v>158</v>
      </c>
      <c r="B173" s="9"/>
      <c r="C173" s="9" t="s">
        <v>18</v>
      </c>
      <c r="D173" s="9"/>
      <c r="E173" s="3">
        <v>2150038</v>
      </c>
      <c r="G173" s="3">
        <v>0</v>
      </c>
      <c r="I173" s="3">
        <v>3638793</v>
      </c>
      <c r="K173" s="3">
        <v>228069</v>
      </c>
      <c r="M173" s="3">
        <v>0</v>
      </c>
      <c r="O173" s="3">
        <v>25129</v>
      </c>
      <c r="Q173" s="3">
        <v>44103</v>
      </c>
      <c r="S173" s="3">
        <f>15853+18260</f>
        <v>34113</v>
      </c>
      <c r="T173" s="9"/>
      <c r="U173" s="9">
        <v>0</v>
      </c>
      <c r="V173" s="9"/>
      <c r="W173" s="9">
        <v>126568</v>
      </c>
      <c r="X173" s="9"/>
      <c r="Y173" s="9">
        <v>0</v>
      </c>
      <c r="Z173" s="9"/>
      <c r="AA173" s="9">
        <v>0</v>
      </c>
      <c r="AB173" s="9"/>
      <c r="AC173" s="9">
        <f t="shared" si="5"/>
        <v>6246813</v>
      </c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</row>
    <row r="174" spans="1:29" s="3" customFormat="1" ht="12" hidden="1">
      <c r="A174" s="3" t="s">
        <v>241</v>
      </c>
      <c r="C174" s="3" t="s">
        <v>27</v>
      </c>
      <c r="E174" s="9">
        <v>0</v>
      </c>
      <c r="F174" s="9"/>
      <c r="G174" s="9">
        <v>0</v>
      </c>
      <c r="H174" s="9"/>
      <c r="I174" s="9">
        <v>0</v>
      </c>
      <c r="J174" s="9"/>
      <c r="K174" s="9">
        <v>0</v>
      </c>
      <c r="L174" s="9"/>
      <c r="M174" s="9">
        <v>0</v>
      </c>
      <c r="N174" s="9"/>
      <c r="O174" s="9">
        <v>0</v>
      </c>
      <c r="P174" s="9"/>
      <c r="Q174" s="9">
        <v>0</v>
      </c>
      <c r="R174" s="9"/>
      <c r="S174" s="9">
        <v>0</v>
      </c>
      <c r="T174" s="9"/>
      <c r="U174" s="9">
        <v>0</v>
      </c>
      <c r="V174" s="9"/>
      <c r="W174" s="9">
        <v>0</v>
      </c>
      <c r="X174" s="9"/>
      <c r="Y174" s="9">
        <v>0</v>
      </c>
      <c r="Z174" s="9"/>
      <c r="AA174" s="9">
        <v>0</v>
      </c>
      <c r="AC174" s="3">
        <f t="shared" si="5"/>
        <v>0</v>
      </c>
    </row>
    <row r="175" spans="1:63" s="3" customFormat="1" ht="12">
      <c r="A175" s="3" t="s">
        <v>159</v>
      </c>
      <c r="C175" s="3" t="s">
        <v>58</v>
      </c>
      <c r="E175" s="3">
        <v>0</v>
      </c>
      <c r="G175" s="3">
        <v>854281.36</v>
      </c>
      <c r="I175" s="3">
        <v>0</v>
      </c>
      <c r="K175" s="3">
        <v>18563.85</v>
      </c>
      <c r="M175" s="3">
        <v>0</v>
      </c>
      <c r="O175" s="3">
        <v>70</v>
      </c>
      <c r="Q175" s="3">
        <v>64807.19</v>
      </c>
      <c r="S175" s="3">
        <v>3299</v>
      </c>
      <c r="U175" s="3">
        <v>0</v>
      </c>
      <c r="W175" s="3">
        <v>835000</v>
      </c>
      <c r="Y175" s="3">
        <v>0</v>
      </c>
      <c r="AA175" s="3">
        <v>0</v>
      </c>
      <c r="AC175" s="3">
        <f t="shared" si="5"/>
        <v>1776021.4</v>
      </c>
      <c r="AE175" s="39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</row>
    <row r="176" spans="1:29" s="3" customFormat="1" ht="12" hidden="1">
      <c r="A176" s="3" t="s">
        <v>243</v>
      </c>
      <c r="C176" s="3" t="s">
        <v>244</v>
      </c>
      <c r="E176" s="9">
        <v>0</v>
      </c>
      <c r="F176" s="9"/>
      <c r="G176" s="9">
        <v>0</v>
      </c>
      <c r="H176" s="9"/>
      <c r="I176" s="9">
        <v>0</v>
      </c>
      <c r="J176" s="9"/>
      <c r="K176" s="9">
        <v>0</v>
      </c>
      <c r="L176" s="9"/>
      <c r="M176" s="9">
        <v>0</v>
      </c>
      <c r="N176" s="9"/>
      <c r="O176" s="9">
        <v>0</v>
      </c>
      <c r="P176" s="9"/>
      <c r="Q176" s="9">
        <v>0</v>
      </c>
      <c r="R176" s="9"/>
      <c r="S176" s="9">
        <v>0</v>
      </c>
      <c r="T176" s="9"/>
      <c r="U176" s="9">
        <v>0</v>
      </c>
      <c r="V176" s="9"/>
      <c r="W176" s="9">
        <v>0</v>
      </c>
      <c r="X176" s="9"/>
      <c r="Y176" s="9">
        <v>0</v>
      </c>
      <c r="Z176" s="9"/>
      <c r="AA176" s="9">
        <v>0</v>
      </c>
      <c r="AC176" s="3">
        <f t="shared" si="5"/>
        <v>0</v>
      </c>
    </row>
    <row r="177" spans="1:29" s="3" customFormat="1" ht="12" hidden="1">
      <c r="A177" s="3" t="s">
        <v>245</v>
      </c>
      <c r="C177" s="3" t="s">
        <v>45</v>
      </c>
      <c r="E177" s="9">
        <v>0</v>
      </c>
      <c r="F177" s="9"/>
      <c r="G177" s="9">
        <v>0</v>
      </c>
      <c r="H177" s="9"/>
      <c r="I177" s="9">
        <v>0</v>
      </c>
      <c r="J177" s="9"/>
      <c r="K177" s="9">
        <v>0</v>
      </c>
      <c r="L177" s="9"/>
      <c r="M177" s="9">
        <v>0</v>
      </c>
      <c r="N177" s="9"/>
      <c r="O177" s="9">
        <v>0</v>
      </c>
      <c r="P177" s="9"/>
      <c r="Q177" s="9">
        <v>0</v>
      </c>
      <c r="R177" s="9"/>
      <c r="S177" s="9">
        <v>0</v>
      </c>
      <c r="T177" s="9"/>
      <c r="U177" s="9">
        <v>0</v>
      </c>
      <c r="V177" s="9"/>
      <c r="W177" s="9">
        <v>0</v>
      </c>
      <c r="X177" s="9"/>
      <c r="Y177" s="9">
        <v>0</v>
      </c>
      <c r="Z177" s="9"/>
      <c r="AA177" s="9">
        <v>0</v>
      </c>
      <c r="AC177" s="3">
        <f t="shared" si="5"/>
        <v>0</v>
      </c>
    </row>
    <row r="178" spans="1:29" s="3" customFormat="1" ht="12" hidden="1">
      <c r="A178" s="3" t="s">
        <v>246</v>
      </c>
      <c r="C178" s="3" t="s">
        <v>68</v>
      </c>
      <c r="E178" s="9">
        <v>0</v>
      </c>
      <c r="F178" s="9"/>
      <c r="G178" s="9">
        <v>0</v>
      </c>
      <c r="H178" s="9"/>
      <c r="I178" s="9">
        <v>0</v>
      </c>
      <c r="J178" s="9"/>
      <c r="K178" s="9">
        <v>0</v>
      </c>
      <c r="L178" s="9"/>
      <c r="M178" s="9">
        <v>0</v>
      </c>
      <c r="N178" s="9"/>
      <c r="O178" s="9">
        <v>0</v>
      </c>
      <c r="P178" s="9"/>
      <c r="Q178" s="9">
        <v>0</v>
      </c>
      <c r="R178" s="9"/>
      <c r="S178" s="9">
        <v>0</v>
      </c>
      <c r="T178" s="9"/>
      <c r="U178" s="9">
        <v>0</v>
      </c>
      <c r="V178" s="9"/>
      <c r="W178" s="9">
        <v>0</v>
      </c>
      <c r="X178" s="9"/>
      <c r="Y178" s="9">
        <v>0</v>
      </c>
      <c r="Z178" s="9"/>
      <c r="AA178" s="9">
        <v>0</v>
      </c>
      <c r="AC178" s="3">
        <f t="shared" si="5"/>
        <v>0</v>
      </c>
    </row>
    <row r="179" spans="1:63" s="3" customFormat="1" ht="12">
      <c r="A179" s="3" t="s">
        <v>523</v>
      </c>
      <c r="C179" s="3" t="s">
        <v>59</v>
      </c>
      <c r="E179" s="3">
        <v>0</v>
      </c>
      <c r="G179" s="3">
        <v>0</v>
      </c>
      <c r="I179" s="3">
        <v>850106.23</v>
      </c>
      <c r="K179" s="3">
        <v>12176.99</v>
      </c>
      <c r="M179" s="3">
        <v>0</v>
      </c>
      <c r="O179" s="3">
        <v>2448.06</v>
      </c>
      <c r="Q179" s="3">
        <v>31810.96</v>
      </c>
      <c r="S179" s="3">
        <v>4280.83</v>
      </c>
      <c r="U179" s="3">
        <v>0</v>
      </c>
      <c r="W179" s="3">
        <v>0</v>
      </c>
      <c r="Y179" s="3">
        <v>0</v>
      </c>
      <c r="AA179" s="3">
        <v>0</v>
      </c>
      <c r="AC179" s="3">
        <f aca="true" t="shared" si="6" ref="AC179:AC210">SUM(E179:AA179)</f>
        <v>900823.07</v>
      </c>
      <c r="AE179" s="39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</row>
    <row r="180" spans="1:63" s="3" customFormat="1" ht="12">
      <c r="A180" s="3" t="s">
        <v>524</v>
      </c>
      <c r="C180" s="3" t="s">
        <v>27</v>
      </c>
      <c r="E180" s="3">
        <v>0</v>
      </c>
      <c r="G180" s="3">
        <v>130718.3</v>
      </c>
      <c r="I180" s="3">
        <v>0</v>
      </c>
      <c r="K180" s="3">
        <v>10569.42</v>
      </c>
      <c r="M180" s="3">
        <v>0</v>
      </c>
      <c r="O180" s="3">
        <v>13259.82</v>
      </c>
      <c r="Q180" s="3">
        <v>162.85</v>
      </c>
      <c r="S180" s="3">
        <v>215.78</v>
      </c>
      <c r="U180" s="3">
        <v>0</v>
      </c>
      <c r="W180" s="3">
        <v>0</v>
      </c>
      <c r="Y180" s="3">
        <v>0</v>
      </c>
      <c r="AA180" s="3">
        <v>0</v>
      </c>
      <c r="AC180" s="3">
        <f t="shared" si="6"/>
        <v>154926.17</v>
      </c>
      <c r="AE180" s="39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</row>
    <row r="181" spans="1:30" s="3" customFormat="1" ht="12" hidden="1">
      <c r="A181" s="3" t="s">
        <v>248</v>
      </c>
      <c r="C181" s="3" t="s">
        <v>95</v>
      </c>
      <c r="E181" s="3">
        <v>0</v>
      </c>
      <c r="G181" s="3">
        <v>0</v>
      </c>
      <c r="I181" s="3">
        <v>0</v>
      </c>
      <c r="K181" s="3">
        <v>0</v>
      </c>
      <c r="M181" s="3">
        <v>0</v>
      </c>
      <c r="O181" s="3">
        <v>0</v>
      </c>
      <c r="Q181" s="3">
        <v>0</v>
      </c>
      <c r="S181" s="3">
        <v>0</v>
      </c>
      <c r="U181" s="3">
        <v>0</v>
      </c>
      <c r="W181" s="3">
        <v>0</v>
      </c>
      <c r="Y181" s="3">
        <v>0</v>
      </c>
      <c r="AA181" s="3">
        <v>0</v>
      </c>
      <c r="AB181" s="9"/>
      <c r="AC181" s="9">
        <f t="shared" si="6"/>
        <v>0</v>
      </c>
      <c r="AD181" s="9"/>
    </row>
    <row r="182" spans="1:63" s="3" customFormat="1" ht="12">
      <c r="A182" s="3" t="s">
        <v>160</v>
      </c>
      <c r="C182" s="3" t="s">
        <v>60</v>
      </c>
      <c r="E182" s="3">
        <v>0</v>
      </c>
      <c r="G182" s="3">
        <v>585475.56</v>
      </c>
      <c r="I182" s="3">
        <v>4235</v>
      </c>
      <c r="K182" s="3">
        <v>22032.71</v>
      </c>
      <c r="M182" s="3">
        <v>0</v>
      </c>
      <c r="O182" s="3">
        <v>3021.11</v>
      </c>
      <c r="Q182" s="3">
        <v>26793.69</v>
      </c>
      <c r="S182" s="3">
        <v>1510.91</v>
      </c>
      <c r="U182" s="3">
        <v>0</v>
      </c>
      <c r="W182" s="3">
        <v>40000</v>
      </c>
      <c r="Y182" s="3">
        <v>0</v>
      </c>
      <c r="AA182" s="3">
        <v>0</v>
      </c>
      <c r="AC182" s="3">
        <f t="shared" si="6"/>
        <v>683068.98</v>
      </c>
      <c r="AE182" s="39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</row>
    <row r="183" spans="1:63" s="3" customFormat="1" ht="12">
      <c r="A183" s="3" t="s">
        <v>350</v>
      </c>
      <c r="C183" s="3" t="s">
        <v>46</v>
      </c>
      <c r="E183" s="3">
        <v>0</v>
      </c>
      <c r="G183" s="3">
        <v>185497.03</v>
      </c>
      <c r="I183" s="3">
        <v>0</v>
      </c>
      <c r="K183" s="3">
        <v>5057.05</v>
      </c>
      <c r="M183" s="3">
        <v>0</v>
      </c>
      <c r="O183" s="3">
        <v>222.25</v>
      </c>
      <c r="Q183" s="3">
        <v>19881.4</v>
      </c>
      <c r="S183" s="3">
        <v>2464.94</v>
      </c>
      <c r="U183" s="3">
        <v>0</v>
      </c>
      <c r="W183" s="3">
        <v>0</v>
      </c>
      <c r="Y183" s="3">
        <v>0</v>
      </c>
      <c r="AA183" s="3">
        <v>0</v>
      </c>
      <c r="AC183" s="3">
        <f t="shared" si="6"/>
        <v>213122.66999999998</v>
      </c>
      <c r="AE183" s="39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</row>
    <row r="184" spans="1:29" s="3" customFormat="1" ht="12" hidden="1">
      <c r="A184" s="3" t="s">
        <v>251</v>
      </c>
      <c r="C184" s="3" t="s">
        <v>60</v>
      </c>
      <c r="E184" s="9">
        <v>0</v>
      </c>
      <c r="F184" s="9"/>
      <c r="G184" s="9">
        <v>0</v>
      </c>
      <c r="H184" s="9"/>
      <c r="I184" s="9">
        <v>0</v>
      </c>
      <c r="J184" s="9"/>
      <c r="K184" s="9">
        <v>0</v>
      </c>
      <c r="L184" s="9"/>
      <c r="M184" s="9">
        <v>0</v>
      </c>
      <c r="N184" s="9"/>
      <c r="O184" s="9">
        <v>0</v>
      </c>
      <c r="P184" s="9"/>
      <c r="Q184" s="9">
        <v>0</v>
      </c>
      <c r="R184" s="9"/>
      <c r="S184" s="9">
        <v>0</v>
      </c>
      <c r="T184" s="9"/>
      <c r="U184" s="9">
        <v>0</v>
      </c>
      <c r="V184" s="9"/>
      <c r="W184" s="9">
        <v>0</v>
      </c>
      <c r="X184" s="9"/>
      <c r="Y184" s="9">
        <v>0</v>
      </c>
      <c r="Z184" s="9"/>
      <c r="AA184" s="9">
        <v>0</v>
      </c>
      <c r="AC184" s="3">
        <f t="shared" si="6"/>
        <v>0</v>
      </c>
    </row>
    <row r="185" spans="1:29" s="3" customFormat="1" ht="12" hidden="1">
      <c r="A185" s="3" t="s">
        <v>252</v>
      </c>
      <c r="C185" s="3" t="s">
        <v>186</v>
      </c>
      <c r="E185" s="9">
        <v>0</v>
      </c>
      <c r="F185" s="9"/>
      <c r="G185" s="9">
        <v>0</v>
      </c>
      <c r="H185" s="9"/>
      <c r="I185" s="9">
        <v>0</v>
      </c>
      <c r="J185" s="9"/>
      <c r="K185" s="9">
        <v>0</v>
      </c>
      <c r="L185" s="9"/>
      <c r="M185" s="9">
        <v>0</v>
      </c>
      <c r="N185" s="9"/>
      <c r="O185" s="9">
        <v>0</v>
      </c>
      <c r="P185" s="9"/>
      <c r="Q185" s="9">
        <v>0</v>
      </c>
      <c r="R185" s="9"/>
      <c r="S185" s="9">
        <v>0</v>
      </c>
      <c r="T185" s="9"/>
      <c r="U185" s="9">
        <v>0</v>
      </c>
      <c r="V185" s="9"/>
      <c r="W185" s="9">
        <v>0</v>
      </c>
      <c r="X185" s="9"/>
      <c r="Y185" s="9">
        <v>0</v>
      </c>
      <c r="Z185" s="9"/>
      <c r="AA185" s="9">
        <v>0</v>
      </c>
      <c r="AC185" s="3">
        <f t="shared" si="6"/>
        <v>0</v>
      </c>
    </row>
    <row r="186" spans="1:63" s="3" customFormat="1" ht="12">
      <c r="A186" s="9" t="s">
        <v>162</v>
      </c>
      <c r="B186" s="9"/>
      <c r="C186" s="9" t="s">
        <v>98</v>
      </c>
      <c r="D186" s="9"/>
      <c r="E186" s="3">
        <v>761423</v>
      </c>
      <c r="G186" s="3">
        <v>1738584</v>
      </c>
      <c r="I186" s="3">
        <v>1120</v>
      </c>
      <c r="K186" s="3">
        <v>76958</v>
      </c>
      <c r="M186" s="3">
        <f>1923+573700</f>
        <v>575623</v>
      </c>
      <c r="O186" s="3">
        <f>75000+21528</f>
        <v>96528</v>
      </c>
      <c r="Q186" s="3">
        <f>18284+6335+5738+45178</f>
        <v>75535</v>
      </c>
      <c r="S186" s="3">
        <f>21450+970</f>
        <v>22420</v>
      </c>
      <c r="T186" s="9"/>
      <c r="U186" s="9">
        <v>0</v>
      </c>
      <c r="V186" s="9"/>
      <c r="W186" s="9">
        <f>80006+196729</f>
        <v>276735</v>
      </c>
      <c r="X186" s="9"/>
      <c r="Y186" s="9">
        <v>0</v>
      </c>
      <c r="Z186" s="9"/>
      <c r="AA186" s="9">
        <v>0</v>
      </c>
      <c r="AB186" s="9"/>
      <c r="AC186" s="9">
        <f t="shared" si="6"/>
        <v>3624926</v>
      </c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</row>
    <row r="187" spans="1:29" s="3" customFormat="1" ht="12" hidden="1">
      <c r="A187" s="3" t="s">
        <v>255</v>
      </c>
      <c r="C187" s="3" t="s">
        <v>44</v>
      </c>
      <c r="E187" s="9">
        <v>0</v>
      </c>
      <c r="F187" s="9"/>
      <c r="G187" s="9">
        <v>0</v>
      </c>
      <c r="H187" s="9"/>
      <c r="I187" s="9">
        <v>0</v>
      </c>
      <c r="J187" s="9"/>
      <c r="K187" s="9">
        <v>0</v>
      </c>
      <c r="L187" s="9"/>
      <c r="M187" s="9">
        <v>0</v>
      </c>
      <c r="N187" s="9"/>
      <c r="O187" s="9">
        <v>0</v>
      </c>
      <c r="P187" s="9"/>
      <c r="Q187" s="9">
        <v>0</v>
      </c>
      <c r="R187" s="9"/>
      <c r="S187" s="9">
        <v>0</v>
      </c>
      <c r="T187" s="9"/>
      <c r="U187" s="9">
        <v>0</v>
      </c>
      <c r="V187" s="9"/>
      <c r="W187" s="9">
        <v>0</v>
      </c>
      <c r="X187" s="9"/>
      <c r="Y187" s="9">
        <v>0</v>
      </c>
      <c r="Z187" s="9"/>
      <c r="AA187" s="9">
        <v>0</v>
      </c>
      <c r="AC187" s="3">
        <f t="shared" si="6"/>
        <v>0</v>
      </c>
    </row>
    <row r="188" spans="1:29" s="3" customFormat="1" ht="12" hidden="1">
      <c r="A188" s="3" t="s">
        <v>256</v>
      </c>
      <c r="C188" s="3" t="s">
        <v>63</v>
      </c>
      <c r="E188" s="9">
        <v>0</v>
      </c>
      <c r="F188" s="9"/>
      <c r="G188" s="9">
        <v>0</v>
      </c>
      <c r="H188" s="9"/>
      <c r="I188" s="9">
        <v>0</v>
      </c>
      <c r="J188" s="9"/>
      <c r="K188" s="9">
        <v>0</v>
      </c>
      <c r="L188" s="9"/>
      <c r="M188" s="9">
        <v>0</v>
      </c>
      <c r="N188" s="9"/>
      <c r="O188" s="9">
        <v>0</v>
      </c>
      <c r="P188" s="9"/>
      <c r="Q188" s="9">
        <v>0</v>
      </c>
      <c r="R188" s="9"/>
      <c r="S188" s="9">
        <v>0</v>
      </c>
      <c r="T188" s="9"/>
      <c r="U188" s="9">
        <v>0</v>
      </c>
      <c r="V188" s="9"/>
      <c r="W188" s="9">
        <v>0</v>
      </c>
      <c r="X188" s="9"/>
      <c r="Y188" s="9">
        <v>0</v>
      </c>
      <c r="Z188" s="9"/>
      <c r="AA188" s="9">
        <v>0</v>
      </c>
      <c r="AC188" s="3">
        <f t="shared" si="6"/>
        <v>0</v>
      </c>
    </row>
    <row r="189" spans="1:63" s="3" customFormat="1" ht="12">
      <c r="A189" s="9" t="s">
        <v>163</v>
      </c>
      <c r="B189" s="9"/>
      <c r="C189" s="9" t="s">
        <v>44</v>
      </c>
      <c r="D189" s="9"/>
      <c r="E189" s="3">
        <v>0</v>
      </c>
      <c r="G189" s="3">
        <v>753135</v>
      </c>
      <c r="I189" s="3">
        <v>0</v>
      </c>
      <c r="K189" s="3">
        <v>30641</v>
      </c>
      <c r="M189" s="3">
        <v>0</v>
      </c>
      <c r="O189" s="3">
        <v>8672</v>
      </c>
      <c r="Q189" s="3">
        <v>195936</v>
      </c>
      <c r="S189" s="3">
        <v>0</v>
      </c>
      <c r="U189" s="3">
        <v>0</v>
      </c>
      <c r="W189" s="3">
        <v>0</v>
      </c>
      <c r="Y189" s="3">
        <v>0</v>
      </c>
      <c r="AA189" s="9">
        <v>0</v>
      </c>
      <c r="AB189" s="9"/>
      <c r="AC189" s="9">
        <f t="shared" si="6"/>
        <v>988384</v>
      </c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</row>
    <row r="190" spans="1:29" s="3" customFormat="1" ht="12" hidden="1">
      <c r="A190" s="3" t="s">
        <v>259</v>
      </c>
      <c r="C190" s="3" t="s">
        <v>258</v>
      </c>
      <c r="E190" s="9">
        <v>0</v>
      </c>
      <c r="F190" s="9"/>
      <c r="G190" s="9">
        <v>0</v>
      </c>
      <c r="H190" s="9"/>
      <c r="I190" s="9">
        <v>0</v>
      </c>
      <c r="J190" s="9"/>
      <c r="K190" s="9">
        <v>0</v>
      </c>
      <c r="L190" s="9"/>
      <c r="M190" s="9">
        <v>0</v>
      </c>
      <c r="N190" s="9"/>
      <c r="O190" s="9">
        <v>0</v>
      </c>
      <c r="P190" s="9"/>
      <c r="Q190" s="9">
        <v>0</v>
      </c>
      <c r="R190" s="9"/>
      <c r="S190" s="9">
        <v>0</v>
      </c>
      <c r="T190" s="9"/>
      <c r="U190" s="9">
        <v>0</v>
      </c>
      <c r="V190" s="9"/>
      <c r="W190" s="9">
        <v>0</v>
      </c>
      <c r="X190" s="9"/>
      <c r="Y190" s="9">
        <v>0</v>
      </c>
      <c r="Z190" s="9"/>
      <c r="AA190" s="9">
        <v>0</v>
      </c>
      <c r="AC190" s="3">
        <f t="shared" si="6"/>
        <v>0</v>
      </c>
    </row>
    <row r="191" spans="1:29" s="3" customFormat="1" ht="12" hidden="1">
      <c r="A191" s="3" t="s">
        <v>260</v>
      </c>
      <c r="C191" s="3" t="s">
        <v>68</v>
      </c>
      <c r="E191" s="9">
        <v>0</v>
      </c>
      <c r="F191" s="9"/>
      <c r="G191" s="9">
        <v>0</v>
      </c>
      <c r="H191" s="9"/>
      <c r="I191" s="9">
        <v>0</v>
      </c>
      <c r="J191" s="9"/>
      <c r="K191" s="9">
        <v>0</v>
      </c>
      <c r="L191" s="9"/>
      <c r="M191" s="9">
        <v>0</v>
      </c>
      <c r="N191" s="9"/>
      <c r="O191" s="9">
        <v>0</v>
      </c>
      <c r="P191" s="9"/>
      <c r="Q191" s="9">
        <v>0</v>
      </c>
      <c r="R191" s="9"/>
      <c r="S191" s="9">
        <v>0</v>
      </c>
      <c r="T191" s="9"/>
      <c r="U191" s="9">
        <v>0</v>
      </c>
      <c r="V191" s="9"/>
      <c r="W191" s="9">
        <v>0</v>
      </c>
      <c r="X191" s="9"/>
      <c r="Y191" s="9">
        <v>0</v>
      </c>
      <c r="Z191" s="9"/>
      <c r="AA191" s="9">
        <v>0</v>
      </c>
      <c r="AC191" s="3">
        <f t="shared" si="6"/>
        <v>0</v>
      </c>
    </row>
    <row r="192" spans="1:29" s="3" customFormat="1" ht="12" hidden="1">
      <c r="A192" s="3" t="s">
        <v>261</v>
      </c>
      <c r="C192" s="3" t="s">
        <v>23</v>
      </c>
      <c r="E192" s="9">
        <v>0</v>
      </c>
      <c r="F192" s="9"/>
      <c r="G192" s="9">
        <v>0</v>
      </c>
      <c r="H192" s="9"/>
      <c r="I192" s="9">
        <v>0</v>
      </c>
      <c r="J192" s="9"/>
      <c r="K192" s="9">
        <v>0</v>
      </c>
      <c r="L192" s="9"/>
      <c r="M192" s="9">
        <v>0</v>
      </c>
      <c r="N192" s="9"/>
      <c r="O192" s="9">
        <v>0</v>
      </c>
      <c r="P192" s="9"/>
      <c r="Q192" s="9">
        <v>0</v>
      </c>
      <c r="R192" s="9"/>
      <c r="S192" s="9">
        <v>0</v>
      </c>
      <c r="T192" s="9"/>
      <c r="U192" s="9">
        <v>0</v>
      </c>
      <c r="V192" s="9"/>
      <c r="W192" s="9">
        <v>0</v>
      </c>
      <c r="X192" s="9"/>
      <c r="Y192" s="9">
        <v>0</v>
      </c>
      <c r="Z192" s="9"/>
      <c r="AA192" s="9">
        <v>0</v>
      </c>
      <c r="AC192" s="3">
        <f t="shared" si="6"/>
        <v>0</v>
      </c>
    </row>
    <row r="193" spans="1:29" s="3" customFormat="1" ht="12" hidden="1">
      <c r="A193" s="3" t="s">
        <v>262</v>
      </c>
      <c r="C193" s="3" t="s">
        <v>69</v>
      </c>
      <c r="E193" s="9">
        <v>0</v>
      </c>
      <c r="F193" s="9"/>
      <c r="G193" s="9">
        <v>0</v>
      </c>
      <c r="H193" s="9"/>
      <c r="I193" s="9">
        <v>0</v>
      </c>
      <c r="J193" s="9"/>
      <c r="K193" s="9">
        <v>0</v>
      </c>
      <c r="L193" s="9"/>
      <c r="M193" s="9">
        <v>0</v>
      </c>
      <c r="N193" s="9"/>
      <c r="O193" s="9">
        <v>0</v>
      </c>
      <c r="P193" s="9"/>
      <c r="Q193" s="9">
        <v>0</v>
      </c>
      <c r="R193" s="9"/>
      <c r="S193" s="9">
        <v>0</v>
      </c>
      <c r="T193" s="9"/>
      <c r="U193" s="9">
        <v>0</v>
      </c>
      <c r="V193" s="9"/>
      <c r="W193" s="9">
        <v>0</v>
      </c>
      <c r="X193" s="9"/>
      <c r="Y193" s="9">
        <v>0</v>
      </c>
      <c r="Z193" s="9"/>
      <c r="AA193" s="9">
        <v>0</v>
      </c>
      <c r="AC193" s="3">
        <f t="shared" si="6"/>
        <v>0</v>
      </c>
    </row>
    <row r="194" spans="1:63" s="3" customFormat="1" ht="12">
      <c r="A194" s="9" t="s">
        <v>164</v>
      </c>
      <c r="B194" s="9"/>
      <c r="C194" s="9" t="s">
        <v>165</v>
      </c>
      <c r="D194" s="9"/>
      <c r="E194" s="3">
        <v>3311123</v>
      </c>
      <c r="G194" s="3">
        <v>5374459</v>
      </c>
      <c r="I194" s="3">
        <v>0</v>
      </c>
      <c r="K194" s="3">
        <v>202057</v>
      </c>
      <c r="M194" s="3">
        <v>0</v>
      </c>
      <c r="O194" s="3">
        <v>2149</v>
      </c>
      <c r="Q194" s="3">
        <v>479126</v>
      </c>
      <c r="S194" s="3">
        <v>40033</v>
      </c>
      <c r="U194" s="3">
        <v>0</v>
      </c>
      <c r="W194" s="3">
        <v>5242234</v>
      </c>
      <c r="X194" s="9"/>
      <c r="Y194" s="9">
        <v>0</v>
      </c>
      <c r="Z194" s="9"/>
      <c r="AA194" s="9">
        <v>0</v>
      </c>
      <c r="AB194" s="9"/>
      <c r="AC194" s="9">
        <f t="shared" si="6"/>
        <v>14651181</v>
      </c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</row>
    <row r="195" spans="1:29" s="3" customFormat="1" ht="12" hidden="1">
      <c r="A195" s="3" t="s">
        <v>264</v>
      </c>
      <c r="C195" s="3" t="s">
        <v>16</v>
      </c>
      <c r="E195" s="9">
        <v>0</v>
      </c>
      <c r="F195" s="9"/>
      <c r="G195" s="9">
        <v>0</v>
      </c>
      <c r="H195" s="9"/>
      <c r="I195" s="9">
        <v>0</v>
      </c>
      <c r="J195" s="9"/>
      <c r="K195" s="9">
        <v>0</v>
      </c>
      <c r="L195" s="9"/>
      <c r="M195" s="9">
        <v>0</v>
      </c>
      <c r="N195" s="9"/>
      <c r="O195" s="9">
        <v>0</v>
      </c>
      <c r="P195" s="9"/>
      <c r="Q195" s="9">
        <v>0</v>
      </c>
      <c r="R195" s="9"/>
      <c r="S195" s="9">
        <v>0</v>
      </c>
      <c r="T195" s="9"/>
      <c r="U195" s="9">
        <v>0</v>
      </c>
      <c r="V195" s="9"/>
      <c r="W195" s="9">
        <v>0</v>
      </c>
      <c r="X195" s="9"/>
      <c r="Y195" s="9">
        <v>0</v>
      </c>
      <c r="Z195" s="9"/>
      <c r="AA195" s="9">
        <v>0</v>
      </c>
      <c r="AC195" s="3">
        <f t="shared" si="6"/>
        <v>0</v>
      </c>
    </row>
    <row r="196" spans="1:63" s="3" customFormat="1" ht="12">
      <c r="A196" s="3" t="s">
        <v>166</v>
      </c>
      <c r="C196" s="3" t="s">
        <v>84</v>
      </c>
      <c r="E196" s="3">
        <v>0</v>
      </c>
      <c r="G196" s="3">
        <v>944310.19</v>
      </c>
      <c r="I196" s="3">
        <v>0</v>
      </c>
      <c r="K196" s="3">
        <v>14698.92</v>
      </c>
      <c r="M196" s="3">
        <v>0</v>
      </c>
      <c r="O196" s="3">
        <v>373916.66</v>
      </c>
      <c r="Q196" s="3">
        <v>61007.62</v>
      </c>
      <c r="S196" s="3">
        <v>10728.28</v>
      </c>
      <c r="U196" s="3">
        <v>0</v>
      </c>
      <c r="W196" s="3">
        <v>1176588.14</v>
      </c>
      <c r="Y196" s="3">
        <v>0</v>
      </c>
      <c r="AA196" s="3">
        <v>0</v>
      </c>
      <c r="AC196" s="3">
        <f t="shared" si="6"/>
        <v>2581249.81</v>
      </c>
      <c r="AE196" s="39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</row>
    <row r="197" spans="1:29" s="3" customFormat="1" ht="12" hidden="1">
      <c r="A197" s="3" t="s">
        <v>267</v>
      </c>
      <c r="C197" s="3" t="s">
        <v>70</v>
      </c>
      <c r="E197" s="9">
        <v>0</v>
      </c>
      <c r="F197" s="9"/>
      <c r="G197" s="9">
        <v>0</v>
      </c>
      <c r="H197" s="9"/>
      <c r="I197" s="9">
        <v>0</v>
      </c>
      <c r="J197" s="9"/>
      <c r="K197" s="9">
        <v>0</v>
      </c>
      <c r="L197" s="9"/>
      <c r="M197" s="9">
        <v>0</v>
      </c>
      <c r="N197" s="9"/>
      <c r="O197" s="9">
        <v>0</v>
      </c>
      <c r="P197" s="9"/>
      <c r="Q197" s="9">
        <v>0</v>
      </c>
      <c r="R197" s="9"/>
      <c r="S197" s="9">
        <v>0</v>
      </c>
      <c r="T197" s="9"/>
      <c r="U197" s="9">
        <v>0</v>
      </c>
      <c r="V197" s="9"/>
      <c r="W197" s="9">
        <v>0</v>
      </c>
      <c r="X197" s="9"/>
      <c r="Y197" s="9">
        <v>0</v>
      </c>
      <c r="Z197" s="9"/>
      <c r="AA197" s="9">
        <v>0</v>
      </c>
      <c r="AC197" s="3">
        <f t="shared" si="6"/>
        <v>0</v>
      </c>
    </row>
    <row r="198" spans="1:29" s="3" customFormat="1" ht="12" hidden="1">
      <c r="A198" s="3" t="s">
        <v>268</v>
      </c>
      <c r="C198" s="3" t="s">
        <v>13</v>
      </c>
      <c r="E198" s="9">
        <v>0</v>
      </c>
      <c r="F198" s="9"/>
      <c r="G198" s="9">
        <v>0</v>
      </c>
      <c r="H198" s="9"/>
      <c r="I198" s="9">
        <v>0</v>
      </c>
      <c r="J198" s="9"/>
      <c r="K198" s="9">
        <v>0</v>
      </c>
      <c r="L198" s="9"/>
      <c r="M198" s="9">
        <v>0</v>
      </c>
      <c r="N198" s="9"/>
      <c r="O198" s="9">
        <v>0</v>
      </c>
      <c r="P198" s="9"/>
      <c r="Q198" s="9">
        <v>0</v>
      </c>
      <c r="R198" s="9"/>
      <c r="S198" s="9">
        <v>0</v>
      </c>
      <c r="T198" s="9"/>
      <c r="U198" s="9">
        <v>0</v>
      </c>
      <c r="V198" s="9"/>
      <c r="W198" s="9">
        <v>0</v>
      </c>
      <c r="X198" s="9"/>
      <c r="Y198" s="9">
        <v>0</v>
      </c>
      <c r="Z198" s="9"/>
      <c r="AA198" s="9">
        <v>0</v>
      </c>
      <c r="AC198" s="3">
        <f t="shared" si="6"/>
        <v>0</v>
      </c>
    </row>
    <row r="199" spans="1:63" s="3" customFormat="1" ht="12">
      <c r="A199" s="9" t="s">
        <v>167</v>
      </c>
      <c r="B199" s="9"/>
      <c r="C199" s="9" t="s">
        <v>168</v>
      </c>
      <c r="D199" s="9"/>
      <c r="E199" s="3">
        <v>0</v>
      </c>
      <c r="G199" s="3">
        <v>1485654</v>
      </c>
      <c r="I199" s="3">
        <v>29743</v>
      </c>
      <c r="K199" s="3">
        <v>1341</v>
      </c>
      <c r="M199" s="3">
        <v>102650</v>
      </c>
      <c r="O199" s="3">
        <v>2490</v>
      </c>
      <c r="Q199" s="3">
        <v>0</v>
      </c>
      <c r="S199" s="3">
        <v>0</v>
      </c>
      <c r="U199" s="3">
        <v>2399</v>
      </c>
      <c r="V199" s="9"/>
      <c r="W199" s="9">
        <v>0</v>
      </c>
      <c r="X199" s="9"/>
      <c r="Y199" s="9">
        <v>0</v>
      </c>
      <c r="Z199" s="9"/>
      <c r="AA199" s="9">
        <v>0</v>
      </c>
      <c r="AB199" s="9"/>
      <c r="AC199" s="9">
        <f t="shared" si="6"/>
        <v>1624277</v>
      </c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</row>
    <row r="200" spans="1:63" s="3" customFormat="1" ht="12">
      <c r="A200" s="3" t="s">
        <v>169</v>
      </c>
      <c r="C200" s="3" t="s">
        <v>46</v>
      </c>
      <c r="E200" s="3">
        <v>104878.06</v>
      </c>
      <c r="G200" s="3">
        <v>413646.71</v>
      </c>
      <c r="I200" s="3">
        <v>13923.25</v>
      </c>
      <c r="K200" s="3">
        <v>12986.89</v>
      </c>
      <c r="M200" s="3">
        <v>0</v>
      </c>
      <c r="O200" s="3">
        <v>3473.85</v>
      </c>
      <c r="Q200" s="3">
        <v>6105.39</v>
      </c>
      <c r="S200" s="3">
        <v>0</v>
      </c>
      <c r="U200" s="3">
        <v>0</v>
      </c>
      <c r="W200" s="3">
        <v>112560</v>
      </c>
      <c r="Y200" s="3">
        <v>0</v>
      </c>
      <c r="AA200" s="3">
        <v>0</v>
      </c>
      <c r="AC200" s="3">
        <f t="shared" si="6"/>
        <v>667574.15</v>
      </c>
      <c r="AE200" s="39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</row>
    <row r="201" spans="1:63" s="3" customFormat="1" ht="12">
      <c r="A201" s="9" t="s">
        <v>170</v>
      </c>
      <c r="B201" s="9"/>
      <c r="C201" s="9" t="s">
        <v>64</v>
      </c>
      <c r="D201" s="9"/>
      <c r="E201" s="3">
        <v>80461</v>
      </c>
      <c r="G201" s="3">
        <v>0</v>
      </c>
      <c r="I201" s="3">
        <v>0</v>
      </c>
      <c r="K201" s="3">
        <v>1841</v>
      </c>
      <c r="M201" s="3">
        <v>0</v>
      </c>
      <c r="O201" s="3">
        <v>625</v>
      </c>
      <c r="Q201" s="3">
        <v>2232</v>
      </c>
      <c r="S201" s="3">
        <v>3079</v>
      </c>
      <c r="U201" s="3">
        <v>0</v>
      </c>
      <c r="W201" s="3">
        <v>0</v>
      </c>
      <c r="Y201" s="3">
        <v>0</v>
      </c>
      <c r="AA201" s="3">
        <v>0</v>
      </c>
      <c r="AB201" s="9"/>
      <c r="AC201" s="9">
        <f t="shared" si="6"/>
        <v>88238</v>
      </c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</row>
    <row r="202" spans="1:63" s="3" customFormat="1" ht="12">
      <c r="A202" s="9" t="s">
        <v>171</v>
      </c>
      <c r="B202" s="9"/>
      <c r="C202" s="9" t="s">
        <v>172</v>
      </c>
      <c r="D202" s="9"/>
      <c r="E202" s="3">
        <v>0</v>
      </c>
      <c r="G202" s="3">
        <v>465483</v>
      </c>
      <c r="I202" s="3">
        <v>0</v>
      </c>
      <c r="K202" s="3">
        <v>13040</v>
      </c>
      <c r="M202" s="3">
        <v>0</v>
      </c>
      <c r="O202" s="3">
        <v>4071</v>
      </c>
      <c r="Q202" s="3">
        <v>13601</v>
      </c>
      <c r="S202" s="3">
        <v>0</v>
      </c>
      <c r="U202" s="3">
        <v>0</v>
      </c>
      <c r="W202" s="3">
        <v>30000</v>
      </c>
      <c r="X202" s="9"/>
      <c r="Y202" s="9">
        <v>0</v>
      </c>
      <c r="Z202" s="9"/>
      <c r="AA202" s="9">
        <v>0</v>
      </c>
      <c r="AB202" s="9"/>
      <c r="AC202" s="9">
        <f t="shared" si="6"/>
        <v>526195</v>
      </c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</row>
    <row r="203" spans="1:63" s="3" customFormat="1" ht="12">
      <c r="A203" s="3" t="s">
        <v>351</v>
      </c>
      <c r="C203" s="3" t="s">
        <v>46</v>
      </c>
      <c r="E203" s="3">
        <v>57784.08</v>
      </c>
      <c r="G203" s="3">
        <v>324380.43</v>
      </c>
      <c r="I203" s="3">
        <v>0</v>
      </c>
      <c r="K203" s="3">
        <v>20607.74</v>
      </c>
      <c r="M203" s="3">
        <v>0</v>
      </c>
      <c r="O203" s="3">
        <v>36239.44</v>
      </c>
      <c r="Q203" s="3">
        <v>4361.21</v>
      </c>
      <c r="S203" s="3">
        <v>892.67</v>
      </c>
      <c r="U203" s="3">
        <v>10624.02</v>
      </c>
      <c r="W203" s="3">
        <v>0</v>
      </c>
      <c r="Y203" s="3">
        <v>0</v>
      </c>
      <c r="AA203" s="3">
        <v>0</v>
      </c>
      <c r="AC203" s="3">
        <f t="shared" si="6"/>
        <v>454889.59</v>
      </c>
      <c r="AE203" s="43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</row>
    <row r="204" spans="1:29" s="3" customFormat="1" ht="12" hidden="1">
      <c r="A204" s="3" t="s">
        <v>271</v>
      </c>
      <c r="C204" s="3" t="s">
        <v>49</v>
      </c>
      <c r="E204" s="9">
        <v>0</v>
      </c>
      <c r="F204" s="9"/>
      <c r="G204" s="9">
        <v>0</v>
      </c>
      <c r="H204" s="9"/>
      <c r="I204" s="9">
        <v>0</v>
      </c>
      <c r="J204" s="9"/>
      <c r="K204" s="9">
        <v>0</v>
      </c>
      <c r="L204" s="9"/>
      <c r="M204" s="9">
        <v>0</v>
      </c>
      <c r="N204" s="9"/>
      <c r="O204" s="9">
        <v>0</v>
      </c>
      <c r="P204" s="9"/>
      <c r="Q204" s="9">
        <v>0</v>
      </c>
      <c r="R204" s="9"/>
      <c r="S204" s="9">
        <v>0</v>
      </c>
      <c r="T204" s="9"/>
      <c r="U204" s="9">
        <v>0</v>
      </c>
      <c r="V204" s="9"/>
      <c r="W204" s="9">
        <v>0</v>
      </c>
      <c r="X204" s="9"/>
      <c r="Y204" s="9">
        <v>0</v>
      </c>
      <c r="Z204" s="9"/>
      <c r="AA204" s="9">
        <v>0</v>
      </c>
      <c r="AC204" s="3">
        <f t="shared" si="6"/>
        <v>0</v>
      </c>
    </row>
    <row r="205" spans="1:29" s="3" customFormat="1" ht="12" hidden="1">
      <c r="A205" s="3" t="s">
        <v>272</v>
      </c>
      <c r="C205" s="3" t="s">
        <v>190</v>
      </c>
      <c r="E205" s="9">
        <v>0</v>
      </c>
      <c r="F205" s="9"/>
      <c r="G205" s="9">
        <v>0</v>
      </c>
      <c r="H205" s="9"/>
      <c r="I205" s="9">
        <v>0</v>
      </c>
      <c r="J205" s="9"/>
      <c r="K205" s="9">
        <v>0</v>
      </c>
      <c r="L205" s="9"/>
      <c r="M205" s="9">
        <v>0</v>
      </c>
      <c r="N205" s="9"/>
      <c r="O205" s="9">
        <v>0</v>
      </c>
      <c r="P205" s="9"/>
      <c r="Q205" s="9">
        <v>0</v>
      </c>
      <c r="R205" s="9"/>
      <c r="S205" s="9">
        <v>0</v>
      </c>
      <c r="T205" s="9"/>
      <c r="U205" s="9">
        <v>0</v>
      </c>
      <c r="V205" s="9"/>
      <c r="W205" s="9">
        <v>0</v>
      </c>
      <c r="X205" s="9"/>
      <c r="Y205" s="9">
        <v>0</v>
      </c>
      <c r="Z205" s="9"/>
      <c r="AA205" s="9">
        <v>0</v>
      </c>
      <c r="AC205" s="3">
        <f t="shared" si="6"/>
        <v>0</v>
      </c>
    </row>
    <row r="206" spans="1:63" s="3" customFormat="1" ht="12">
      <c r="A206" s="9" t="s">
        <v>174</v>
      </c>
      <c r="B206" s="9"/>
      <c r="C206" s="9" t="s">
        <v>175</v>
      </c>
      <c r="D206" s="9"/>
      <c r="E206" s="3">
        <v>43347</v>
      </c>
      <c r="G206" s="3">
        <v>433976</v>
      </c>
      <c r="I206" s="3">
        <v>5009</v>
      </c>
      <c r="K206" s="3">
        <v>7765</v>
      </c>
      <c r="M206" s="3">
        <v>0</v>
      </c>
      <c r="O206" s="3">
        <v>44005</v>
      </c>
      <c r="Q206" s="3">
        <v>76452</v>
      </c>
      <c r="S206" s="3">
        <v>5928</v>
      </c>
      <c r="U206" s="3">
        <v>0</v>
      </c>
      <c r="W206" s="3">
        <v>80000</v>
      </c>
      <c r="Y206" s="3">
        <v>0</v>
      </c>
      <c r="AA206" s="3">
        <v>0</v>
      </c>
      <c r="AB206" s="9"/>
      <c r="AC206" s="9">
        <f t="shared" si="6"/>
        <v>696482</v>
      </c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</row>
    <row r="207" spans="1:63" s="3" customFormat="1" ht="12">
      <c r="A207" s="3" t="s">
        <v>525</v>
      </c>
      <c r="C207" s="3" t="s">
        <v>60</v>
      </c>
      <c r="E207" s="3">
        <v>0</v>
      </c>
      <c r="G207" s="3">
        <v>398863.82</v>
      </c>
      <c r="I207" s="3">
        <v>0</v>
      </c>
      <c r="K207" s="3">
        <v>14633.16</v>
      </c>
      <c r="M207" s="3">
        <v>0</v>
      </c>
      <c r="O207" s="3">
        <v>20575.85</v>
      </c>
      <c r="Q207" s="3">
        <v>32121.79</v>
      </c>
      <c r="S207" s="3">
        <v>530.45</v>
      </c>
      <c r="U207" s="3">
        <v>0</v>
      </c>
      <c r="W207" s="3">
        <v>13000</v>
      </c>
      <c r="Y207" s="3">
        <v>0</v>
      </c>
      <c r="AA207" s="3">
        <v>0</v>
      </c>
      <c r="AC207" s="3">
        <f t="shared" si="6"/>
        <v>479725.06999999995</v>
      </c>
      <c r="AE207" s="39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</row>
    <row r="208" spans="1:29" s="3" customFormat="1" ht="12" hidden="1">
      <c r="A208" s="3" t="s">
        <v>275</v>
      </c>
      <c r="C208" s="3" t="s">
        <v>64</v>
      </c>
      <c r="E208" s="9">
        <v>0</v>
      </c>
      <c r="F208" s="9"/>
      <c r="G208" s="9">
        <v>0</v>
      </c>
      <c r="H208" s="9"/>
      <c r="I208" s="9">
        <v>0</v>
      </c>
      <c r="J208" s="9"/>
      <c r="K208" s="9">
        <v>0</v>
      </c>
      <c r="L208" s="9"/>
      <c r="M208" s="9">
        <v>0</v>
      </c>
      <c r="N208" s="9"/>
      <c r="O208" s="9">
        <v>0</v>
      </c>
      <c r="P208" s="9"/>
      <c r="Q208" s="9">
        <v>0</v>
      </c>
      <c r="R208" s="9"/>
      <c r="S208" s="9">
        <v>0</v>
      </c>
      <c r="T208" s="9"/>
      <c r="U208" s="9">
        <v>0</v>
      </c>
      <c r="V208" s="9"/>
      <c r="W208" s="9">
        <v>0</v>
      </c>
      <c r="X208" s="9"/>
      <c r="Y208" s="9">
        <v>0</v>
      </c>
      <c r="Z208" s="9"/>
      <c r="AA208" s="9">
        <v>0</v>
      </c>
      <c r="AC208" s="3">
        <f t="shared" si="6"/>
        <v>0</v>
      </c>
    </row>
    <row r="209" spans="1:29" s="3" customFormat="1" ht="12" hidden="1">
      <c r="A209" s="3" t="s">
        <v>276</v>
      </c>
      <c r="C209" s="3" t="s">
        <v>182</v>
      </c>
      <c r="E209" s="9">
        <v>0</v>
      </c>
      <c r="F209" s="9"/>
      <c r="G209" s="9">
        <v>0</v>
      </c>
      <c r="H209" s="9"/>
      <c r="I209" s="9">
        <v>0</v>
      </c>
      <c r="J209" s="9"/>
      <c r="K209" s="9">
        <v>0</v>
      </c>
      <c r="L209" s="9"/>
      <c r="M209" s="9">
        <v>0</v>
      </c>
      <c r="N209" s="9"/>
      <c r="O209" s="9">
        <v>0</v>
      </c>
      <c r="P209" s="9"/>
      <c r="Q209" s="9">
        <v>0</v>
      </c>
      <c r="R209" s="9"/>
      <c r="S209" s="9">
        <v>0</v>
      </c>
      <c r="T209" s="9"/>
      <c r="U209" s="9">
        <v>0</v>
      </c>
      <c r="V209" s="9"/>
      <c r="W209" s="9">
        <v>0</v>
      </c>
      <c r="X209" s="9"/>
      <c r="Y209" s="9">
        <v>0</v>
      </c>
      <c r="Z209" s="9"/>
      <c r="AA209" s="9">
        <v>0</v>
      </c>
      <c r="AC209" s="3">
        <f t="shared" si="6"/>
        <v>0</v>
      </c>
    </row>
    <row r="210" spans="1:29" s="3" customFormat="1" ht="12" hidden="1">
      <c r="A210" s="3" t="s">
        <v>277</v>
      </c>
      <c r="C210" s="3" t="s">
        <v>46</v>
      </c>
      <c r="E210" s="9">
        <v>0</v>
      </c>
      <c r="F210" s="9"/>
      <c r="G210" s="9">
        <v>0</v>
      </c>
      <c r="H210" s="9"/>
      <c r="I210" s="9">
        <v>0</v>
      </c>
      <c r="J210" s="9"/>
      <c r="K210" s="9">
        <v>0</v>
      </c>
      <c r="L210" s="9"/>
      <c r="M210" s="9">
        <v>0</v>
      </c>
      <c r="N210" s="9"/>
      <c r="O210" s="9">
        <v>0</v>
      </c>
      <c r="P210" s="9"/>
      <c r="Q210" s="9">
        <v>0</v>
      </c>
      <c r="R210" s="9"/>
      <c r="S210" s="9">
        <v>0</v>
      </c>
      <c r="T210" s="9"/>
      <c r="U210" s="9">
        <v>0</v>
      </c>
      <c r="V210" s="9"/>
      <c r="W210" s="9">
        <v>0</v>
      </c>
      <c r="X210" s="9"/>
      <c r="Y210" s="9">
        <v>0</v>
      </c>
      <c r="Z210" s="9"/>
      <c r="AA210" s="9">
        <v>0</v>
      </c>
      <c r="AC210" s="3">
        <f t="shared" si="6"/>
        <v>0</v>
      </c>
    </row>
    <row r="211" spans="1:29" s="3" customFormat="1" ht="12" hidden="1">
      <c r="A211" s="3" t="s">
        <v>278</v>
      </c>
      <c r="C211" s="3" t="s">
        <v>53</v>
      </c>
      <c r="E211" s="9">
        <v>0</v>
      </c>
      <c r="F211" s="9"/>
      <c r="G211" s="9">
        <v>0</v>
      </c>
      <c r="H211" s="9"/>
      <c r="I211" s="9">
        <v>0</v>
      </c>
      <c r="J211" s="9"/>
      <c r="K211" s="9">
        <v>0</v>
      </c>
      <c r="L211" s="9"/>
      <c r="M211" s="9">
        <v>0</v>
      </c>
      <c r="N211" s="9"/>
      <c r="O211" s="9">
        <v>0</v>
      </c>
      <c r="P211" s="9"/>
      <c r="Q211" s="9">
        <v>0</v>
      </c>
      <c r="R211" s="9"/>
      <c r="S211" s="9">
        <v>0</v>
      </c>
      <c r="T211" s="9"/>
      <c r="U211" s="9">
        <v>0</v>
      </c>
      <c r="V211" s="9"/>
      <c r="W211" s="9">
        <v>0</v>
      </c>
      <c r="X211" s="9"/>
      <c r="Y211" s="9">
        <v>0</v>
      </c>
      <c r="Z211" s="9"/>
      <c r="AA211" s="9">
        <v>0</v>
      </c>
      <c r="AC211" s="3">
        <f aca="true" t="shared" si="7" ref="AC211:AC242">SUM(E211:AA211)</f>
        <v>0</v>
      </c>
    </row>
    <row r="212" spans="1:63" s="3" customFormat="1" ht="12">
      <c r="A212" s="3" t="s">
        <v>176</v>
      </c>
      <c r="C212" s="3" t="s">
        <v>61</v>
      </c>
      <c r="E212" s="3">
        <v>1412969.31</v>
      </c>
      <c r="G212" s="3">
        <v>0</v>
      </c>
      <c r="I212" s="3">
        <v>2025</v>
      </c>
      <c r="K212" s="3">
        <v>67294.31</v>
      </c>
      <c r="M212" s="3">
        <v>0</v>
      </c>
      <c r="O212" s="3">
        <v>39103.74</v>
      </c>
      <c r="Q212" s="3">
        <v>143573.16</v>
      </c>
      <c r="S212" s="3">
        <v>5191</v>
      </c>
      <c r="U212" s="3">
        <v>0</v>
      </c>
      <c r="W212" s="3">
        <v>200376.08</v>
      </c>
      <c r="Y212" s="3">
        <v>0</v>
      </c>
      <c r="AA212" s="3">
        <v>0</v>
      </c>
      <c r="AC212" s="3">
        <f t="shared" si="7"/>
        <v>1870532.6</v>
      </c>
      <c r="AE212" s="39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</row>
    <row r="213" spans="1:63" s="3" customFormat="1" ht="12">
      <c r="A213" s="9" t="s">
        <v>177</v>
      </c>
      <c r="B213" s="9"/>
      <c r="C213" s="9" t="s">
        <v>63</v>
      </c>
      <c r="D213" s="9"/>
      <c r="E213" s="3">
        <v>124380</v>
      </c>
      <c r="G213" s="3">
        <v>0</v>
      </c>
      <c r="I213" s="3">
        <v>0</v>
      </c>
      <c r="K213" s="3">
        <v>265</v>
      </c>
      <c r="M213" s="3">
        <v>0</v>
      </c>
      <c r="O213" s="3">
        <v>411</v>
      </c>
      <c r="Q213" s="3">
        <v>5036</v>
      </c>
      <c r="S213" s="3">
        <v>859</v>
      </c>
      <c r="U213" s="3">
        <v>0</v>
      </c>
      <c r="W213" s="9">
        <v>0</v>
      </c>
      <c r="X213" s="9"/>
      <c r="Y213" s="9">
        <v>0</v>
      </c>
      <c r="Z213" s="9"/>
      <c r="AA213" s="9">
        <v>0</v>
      </c>
      <c r="AB213" s="9"/>
      <c r="AC213" s="9">
        <f t="shared" si="7"/>
        <v>130951</v>
      </c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</row>
    <row r="214" spans="1:63" s="3" customFormat="1" ht="12">
      <c r="A214" s="3" t="s">
        <v>352</v>
      </c>
      <c r="C214" s="3" t="s">
        <v>178</v>
      </c>
      <c r="E214" s="3">
        <v>0</v>
      </c>
      <c r="G214" s="3">
        <v>1277620.2</v>
      </c>
      <c r="I214" s="3">
        <v>0</v>
      </c>
      <c r="K214" s="3">
        <v>29293.16</v>
      </c>
      <c r="M214" s="3">
        <v>0</v>
      </c>
      <c r="O214" s="3">
        <v>12042.12</v>
      </c>
      <c r="Q214" s="3">
        <v>42304.94</v>
      </c>
      <c r="S214" s="3">
        <v>1177.6</v>
      </c>
      <c r="U214" s="3">
        <v>200</v>
      </c>
      <c r="W214" s="3">
        <v>50000</v>
      </c>
      <c r="Y214" s="3">
        <v>0</v>
      </c>
      <c r="AA214" s="3">
        <v>0</v>
      </c>
      <c r="AC214" s="3">
        <f t="shared" si="7"/>
        <v>1412638.02</v>
      </c>
      <c r="AE214" s="39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</row>
    <row r="215" spans="1:29" s="3" customFormat="1" ht="12" hidden="1">
      <c r="A215" s="3" t="s">
        <v>282</v>
      </c>
      <c r="C215" s="3" t="s">
        <v>72</v>
      </c>
      <c r="E215" s="9">
        <v>0</v>
      </c>
      <c r="F215" s="9"/>
      <c r="G215" s="9">
        <v>0</v>
      </c>
      <c r="H215" s="9"/>
      <c r="I215" s="9">
        <v>0</v>
      </c>
      <c r="J215" s="9"/>
      <c r="K215" s="9">
        <v>0</v>
      </c>
      <c r="L215" s="9"/>
      <c r="M215" s="9">
        <v>0</v>
      </c>
      <c r="N215" s="9"/>
      <c r="O215" s="9">
        <v>0</v>
      </c>
      <c r="P215" s="9"/>
      <c r="Q215" s="9">
        <v>0</v>
      </c>
      <c r="R215" s="9"/>
      <c r="S215" s="9">
        <v>0</v>
      </c>
      <c r="T215" s="9"/>
      <c r="U215" s="9">
        <v>0</v>
      </c>
      <c r="V215" s="9"/>
      <c r="W215" s="9">
        <v>0</v>
      </c>
      <c r="X215" s="9"/>
      <c r="Y215" s="9">
        <v>0</v>
      </c>
      <c r="Z215" s="9"/>
      <c r="AA215" s="9">
        <v>0</v>
      </c>
      <c r="AC215" s="3">
        <f t="shared" si="7"/>
        <v>0</v>
      </c>
    </row>
    <row r="216" spans="1:29" s="3" customFormat="1" ht="12" hidden="1">
      <c r="A216" s="3" t="s">
        <v>283</v>
      </c>
      <c r="C216" s="3" t="s">
        <v>65</v>
      </c>
      <c r="E216" s="9">
        <v>0</v>
      </c>
      <c r="F216" s="9"/>
      <c r="G216" s="9">
        <v>0</v>
      </c>
      <c r="H216" s="9"/>
      <c r="I216" s="9">
        <v>0</v>
      </c>
      <c r="J216" s="9"/>
      <c r="K216" s="9">
        <v>0</v>
      </c>
      <c r="L216" s="9"/>
      <c r="M216" s="9">
        <v>0</v>
      </c>
      <c r="N216" s="9"/>
      <c r="O216" s="9">
        <v>0</v>
      </c>
      <c r="P216" s="9"/>
      <c r="Q216" s="9">
        <v>0</v>
      </c>
      <c r="R216" s="9"/>
      <c r="S216" s="9">
        <v>0</v>
      </c>
      <c r="T216" s="9"/>
      <c r="U216" s="9">
        <v>0</v>
      </c>
      <c r="V216" s="9"/>
      <c r="W216" s="9">
        <v>0</v>
      </c>
      <c r="X216" s="9"/>
      <c r="Y216" s="9">
        <v>0</v>
      </c>
      <c r="Z216" s="9"/>
      <c r="AA216" s="9">
        <v>0</v>
      </c>
      <c r="AC216" s="3">
        <f t="shared" si="7"/>
        <v>0</v>
      </c>
    </row>
    <row r="217" spans="1:63" s="3" customFormat="1" ht="12">
      <c r="A217" s="3" t="s">
        <v>353</v>
      </c>
      <c r="C217" s="3" t="s">
        <v>44</v>
      </c>
      <c r="E217" s="3">
        <v>0</v>
      </c>
      <c r="G217" s="3">
        <v>225940.57</v>
      </c>
      <c r="I217" s="3">
        <v>0</v>
      </c>
      <c r="K217" s="3">
        <v>2485.88</v>
      </c>
      <c r="M217" s="3">
        <v>0</v>
      </c>
      <c r="O217" s="3">
        <v>885</v>
      </c>
      <c r="Q217" s="3">
        <v>5643.93</v>
      </c>
      <c r="S217" s="3">
        <v>6669.46</v>
      </c>
      <c r="U217" s="3">
        <v>0</v>
      </c>
      <c r="W217" s="3">
        <v>15000</v>
      </c>
      <c r="Y217" s="3">
        <v>0</v>
      </c>
      <c r="AA217" s="3">
        <v>0</v>
      </c>
      <c r="AC217" s="3">
        <f t="shared" si="7"/>
        <v>256624.84</v>
      </c>
      <c r="AE217" s="39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</row>
    <row r="218" spans="1:63" s="3" customFormat="1" ht="12">
      <c r="A218" s="3" t="s">
        <v>526</v>
      </c>
      <c r="C218" s="3" t="s">
        <v>59</v>
      </c>
      <c r="E218" s="3">
        <v>0</v>
      </c>
      <c r="G218" s="3">
        <v>850106.23</v>
      </c>
      <c r="I218" s="3">
        <v>0</v>
      </c>
      <c r="K218" s="3">
        <v>19940.73</v>
      </c>
      <c r="M218" s="3">
        <v>0</v>
      </c>
      <c r="O218" s="3">
        <v>56422.28</v>
      </c>
      <c r="Q218" s="3">
        <v>31584.6</v>
      </c>
      <c r="S218" s="3">
        <v>2190.99</v>
      </c>
      <c r="U218" s="3">
        <v>0</v>
      </c>
      <c r="W218" s="3">
        <v>0</v>
      </c>
      <c r="Y218" s="3">
        <v>0</v>
      </c>
      <c r="AA218" s="3">
        <v>0</v>
      </c>
      <c r="AC218" s="3">
        <f t="shared" si="7"/>
        <v>960244.83</v>
      </c>
      <c r="AE218" s="39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</row>
    <row r="219" spans="1:63" s="3" customFormat="1" ht="12">
      <c r="A219" s="9" t="s">
        <v>180</v>
      </c>
      <c r="B219" s="9"/>
      <c r="C219" s="9" t="s">
        <v>23</v>
      </c>
      <c r="D219" s="9"/>
      <c r="E219" s="3">
        <v>1416704</v>
      </c>
      <c r="G219" s="3">
        <v>1075121</v>
      </c>
      <c r="I219" s="3">
        <v>51762</v>
      </c>
      <c r="K219" s="3">
        <v>20133</v>
      </c>
      <c r="M219" s="3">
        <v>0</v>
      </c>
      <c r="O219" s="3">
        <v>22394</v>
      </c>
      <c r="Q219" s="3">
        <v>5007</v>
      </c>
      <c r="S219" s="3">
        <v>0</v>
      </c>
      <c r="U219" s="3">
        <v>0</v>
      </c>
      <c r="W219" s="9">
        <v>90186</v>
      </c>
      <c r="X219" s="9"/>
      <c r="Y219" s="9">
        <v>0</v>
      </c>
      <c r="Z219" s="9"/>
      <c r="AA219" s="9">
        <v>0</v>
      </c>
      <c r="AB219" s="9"/>
      <c r="AC219" s="9">
        <f t="shared" si="7"/>
        <v>2681307</v>
      </c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</row>
    <row r="220" spans="1:29" s="3" customFormat="1" ht="12" hidden="1">
      <c r="A220" s="3" t="s">
        <v>286</v>
      </c>
      <c r="C220" s="3" t="s">
        <v>71</v>
      </c>
      <c r="E220" s="9">
        <v>0</v>
      </c>
      <c r="F220" s="9"/>
      <c r="G220" s="9">
        <v>0</v>
      </c>
      <c r="H220" s="9"/>
      <c r="I220" s="9">
        <v>0</v>
      </c>
      <c r="J220" s="9"/>
      <c r="K220" s="9">
        <v>0</v>
      </c>
      <c r="L220" s="9"/>
      <c r="M220" s="9">
        <v>0</v>
      </c>
      <c r="N220" s="9"/>
      <c r="O220" s="9">
        <v>0</v>
      </c>
      <c r="P220" s="9"/>
      <c r="Q220" s="9">
        <v>0</v>
      </c>
      <c r="R220" s="9"/>
      <c r="S220" s="9">
        <v>0</v>
      </c>
      <c r="T220" s="9"/>
      <c r="U220" s="9">
        <v>0</v>
      </c>
      <c r="V220" s="9"/>
      <c r="W220" s="9">
        <v>0</v>
      </c>
      <c r="X220" s="9"/>
      <c r="Y220" s="9">
        <v>0</v>
      </c>
      <c r="Z220" s="9"/>
      <c r="AA220" s="9">
        <v>0</v>
      </c>
      <c r="AC220" s="3">
        <f t="shared" si="7"/>
        <v>0</v>
      </c>
    </row>
    <row r="221" spans="1:29" s="3" customFormat="1" ht="12" hidden="1">
      <c r="A221" s="3" t="s">
        <v>287</v>
      </c>
      <c r="C221" s="3" t="s">
        <v>48</v>
      </c>
      <c r="E221" s="9">
        <v>0</v>
      </c>
      <c r="F221" s="9"/>
      <c r="G221" s="9">
        <v>0</v>
      </c>
      <c r="H221" s="9"/>
      <c r="I221" s="9">
        <v>0</v>
      </c>
      <c r="J221" s="9"/>
      <c r="K221" s="9">
        <v>0</v>
      </c>
      <c r="L221" s="9"/>
      <c r="M221" s="9">
        <v>0</v>
      </c>
      <c r="N221" s="9"/>
      <c r="O221" s="9">
        <v>0</v>
      </c>
      <c r="P221" s="9"/>
      <c r="Q221" s="9">
        <v>0</v>
      </c>
      <c r="R221" s="9"/>
      <c r="S221" s="9">
        <v>0</v>
      </c>
      <c r="T221" s="9"/>
      <c r="U221" s="9">
        <v>0</v>
      </c>
      <c r="V221" s="9"/>
      <c r="W221" s="9">
        <v>0</v>
      </c>
      <c r="X221" s="9"/>
      <c r="Y221" s="9">
        <v>0</v>
      </c>
      <c r="Z221" s="9"/>
      <c r="AA221" s="9">
        <v>0</v>
      </c>
      <c r="AC221" s="3">
        <f t="shared" si="7"/>
        <v>0</v>
      </c>
    </row>
    <row r="222" spans="1:63" s="3" customFormat="1" ht="12">
      <c r="A222" s="9" t="s">
        <v>181</v>
      </c>
      <c r="B222" s="9"/>
      <c r="C222" s="9" t="s">
        <v>182</v>
      </c>
      <c r="D222" s="9"/>
      <c r="E222" s="3">
        <v>291809</v>
      </c>
      <c r="G222" s="3">
        <v>395283</v>
      </c>
      <c r="I222" s="3">
        <v>0</v>
      </c>
      <c r="K222" s="3">
        <v>39696</v>
      </c>
      <c r="M222" s="3">
        <v>0</v>
      </c>
      <c r="O222" s="3">
        <v>10116</v>
      </c>
      <c r="Q222" s="3">
        <v>20460</v>
      </c>
      <c r="S222" s="3">
        <v>6964</v>
      </c>
      <c r="U222" s="3">
        <v>0</v>
      </c>
      <c r="W222" s="3">
        <v>0</v>
      </c>
      <c r="Y222" s="9">
        <v>0</v>
      </c>
      <c r="Z222" s="9"/>
      <c r="AA222" s="9">
        <v>0</v>
      </c>
      <c r="AB222" s="9"/>
      <c r="AC222" s="9">
        <f t="shared" si="7"/>
        <v>764328</v>
      </c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</row>
    <row r="223" spans="1:29" s="3" customFormat="1" ht="12" hidden="1">
      <c r="A223" s="3" t="s">
        <v>289</v>
      </c>
      <c r="C223" s="3" t="s">
        <v>113</v>
      </c>
      <c r="E223" s="9">
        <v>0</v>
      </c>
      <c r="F223" s="9"/>
      <c r="G223" s="9">
        <v>0</v>
      </c>
      <c r="H223" s="9"/>
      <c r="I223" s="9">
        <v>0</v>
      </c>
      <c r="J223" s="9"/>
      <c r="K223" s="9">
        <v>0</v>
      </c>
      <c r="L223" s="9"/>
      <c r="M223" s="9">
        <v>0</v>
      </c>
      <c r="N223" s="9"/>
      <c r="O223" s="9">
        <v>0</v>
      </c>
      <c r="P223" s="9"/>
      <c r="Q223" s="9">
        <v>0</v>
      </c>
      <c r="R223" s="9"/>
      <c r="S223" s="9">
        <v>0</v>
      </c>
      <c r="T223" s="9"/>
      <c r="U223" s="9">
        <v>0</v>
      </c>
      <c r="V223" s="9"/>
      <c r="W223" s="9">
        <v>0</v>
      </c>
      <c r="X223" s="9"/>
      <c r="Y223" s="9">
        <v>0</v>
      </c>
      <c r="Z223" s="9"/>
      <c r="AA223" s="9">
        <v>0</v>
      </c>
      <c r="AC223" s="3">
        <f t="shared" si="7"/>
        <v>0</v>
      </c>
    </row>
    <row r="224" spans="1:63" s="3" customFormat="1" ht="12">
      <c r="A224" s="3" t="s">
        <v>527</v>
      </c>
      <c r="C224" s="3" t="s">
        <v>13</v>
      </c>
      <c r="E224" s="3">
        <v>0</v>
      </c>
      <c r="G224" s="3">
        <v>376566.45</v>
      </c>
      <c r="I224" s="3">
        <v>0</v>
      </c>
      <c r="K224" s="3">
        <v>7912.74</v>
      </c>
      <c r="M224" s="3">
        <v>0</v>
      </c>
      <c r="O224" s="3">
        <v>26116.32</v>
      </c>
      <c r="Q224" s="3">
        <v>7163.12</v>
      </c>
      <c r="S224" s="3">
        <v>3878.8</v>
      </c>
      <c r="U224" s="3">
        <v>0</v>
      </c>
      <c r="W224" s="3">
        <v>0</v>
      </c>
      <c r="Y224" s="3">
        <v>0</v>
      </c>
      <c r="AA224" s="3">
        <v>0</v>
      </c>
      <c r="AC224" s="3">
        <f t="shared" si="7"/>
        <v>421637.43</v>
      </c>
      <c r="AE224" s="39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</row>
    <row r="225" spans="1:63" s="3" customFormat="1" ht="12">
      <c r="A225" s="9" t="s">
        <v>183</v>
      </c>
      <c r="B225" s="9"/>
      <c r="C225" s="9" t="s">
        <v>172</v>
      </c>
      <c r="D225" s="9"/>
      <c r="E225" s="3">
        <v>775806</v>
      </c>
      <c r="G225" s="3">
        <v>1279</v>
      </c>
      <c r="I225" s="3">
        <v>0</v>
      </c>
      <c r="K225" s="3">
        <v>17224</v>
      </c>
      <c r="M225" s="3">
        <v>0</v>
      </c>
      <c r="O225" s="3">
        <v>9548</v>
      </c>
      <c r="Q225" s="3">
        <f>17990+51+110</f>
        <v>18151</v>
      </c>
      <c r="S225" s="3">
        <v>516</v>
      </c>
      <c r="U225" s="3">
        <v>0</v>
      </c>
      <c r="W225" s="3">
        <v>0</v>
      </c>
      <c r="Y225" s="3">
        <v>0</v>
      </c>
      <c r="AA225" s="3">
        <v>0</v>
      </c>
      <c r="AB225" s="9"/>
      <c r="AC225" s="9">
        <f t="shared" si="7"/>
        <v>822524</v>
      </c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</row>
    <row r="226" spans="1:29" s="3" customFormat="1" ht="12" hidden="1">
      <c r="A226" s="3" t="s">
        <v>291</v>
      </c>
      <c r="C226" s="3" t="s">
        <v>47</v>
      </c>
      <c r="E226" s="9">
        <v>0</v>
      </c>
      <c r="F226" s="9"/>
      <c r="G226" s="9">
        <v>0</v>
      </c>
      <c r="H226" s="9"/>
      <c r="I226" s="9">
        <v>0</v>
      </c>
      <c r="J226" s="9"/>
      <c r="K226" s="9">
        <v>0</v>
      </c>
      <c r="L226" s="9"/>
      <c r="M226" s="9">
        <v>0</v>
      </c>
      <c r="N226" s="9"/>
      <c r="O226" s="9">
        <v>0</v>
      </c>
      <c r="P226" s="9"/>
      <c r="Q226" s="9">
        <v>0</v>
      </c>
      <c r="R226" s="9"/>
      <c r="S226" s="9">
        <v>0</v>
      </c>
      <c r="T226" s="9"/>
      <c r="U226" s="9">
        <v>0</v>
      </c>
      <c r="V226" s="9"/>
      <c r="W226" s="9">
        <v>0</v>
      </c>
      <c r="X226" s="9"/>
      <c r="Y226" s="9">
        <v>0</v>
      </c>
      <c r="Z226" s="9"/>
      <c r="AA226" s="9">
        <v>0</v>
      </c>
      <c r="AC226" s="3">
        <f t="shared" si="7"/>
        <v>0</v>
      </c>
    </row>
    <row r="227" spans="1:29" s="3" customFormat="1" ht="12" hidden="1">
      <c r="A227" s="3" t="s">
        <v>292</v>
      </c>
      <c r="C227" s="3" t="s">
        <v>14</v>
      </c>
      <c r="E227" s="9">
        <v>0</v>
      </c>
      <c r="F227" s="9"/>
      <c r="G227" s="9">
        <v>0</v>
      </c>
      <c r="H227" s="9"/>
      <c r="I227" s="9">
        <v>0</v>
      </c>
      <c r="J227" s="9"/>
      <c r="K227" s="9">
        <v>0</v>
      </c>
      <c r="L227" s="9"/>
      <c r="M227" s="9">
        <v>0</v>
      </c>
      <c r="N227" s="9"/>
      <c r="O227" s="9">
        <v>0</v>
      </c>
      <c r="P227" s="9"/>
      <c r="Q227" s="9">
        <v>0</v>
      </c>
      <c r="R227" s="9"/>
      <c r="S227" s="9">
        <v>0</v>
      </c>
      <c r="T227" s="9"/>
      <c r="U227" s="9">
        <v>0</v>
      </c>
      <c r="V227" s="9"/>
      <c r="W227" s="9">
        <v>0</v>
      </c>
      <c r="X227" s="9"/>
      <c r="Y227" s="9">
        <v>0</v>
      </c>
      <c r="Z227" s="9"/>
      <c r="AA227" s="9">
        <v>0</v>
      </c>
      <c r="AC227" s="3">
        <f t="shared" si="7"/>
        <v>0</v>
      </c>
    </row>
    <row r="228" spans="1:63" s="3" customFormat="1" ht="12">
      <c r="A228" s="3" t="s">
        <v>389</v>
      </c>
      <c r="C228" s="3" t="s">
        <v>56</v>
      </c>
      <c r="E228" s="3">
        <v>0</v>
      </c>
      <c r="G228" s="3">
        <v>276661.02</v>
      </c>
      <c r="I228" s="3">
        <v>0</v>
      </c>
      <c r="K228" s="3">
        <v>4258.53</v>
      </c>
      <c r="M228" s="3">
        <v>0</v>
      </c>
      <c r="O228" s="3">
        <v>29495</v>
      </c>
      <c r="Q228" s="3">
        <v>37790.19</v>
      </c>
      <c r="S228" s="3">
        <v>2410.62</v>
      </c>
      <c r="U228" s="3">
        <v>0</v>
      </c>
      <c r="W228" s="3">
        <v>0</v>
      </c>
      <c r="Y228" s="3">
        <v>0</v>
      </c>
      <c r="AA228" s="3">
        <v>0</v>
      </c>
      <c r="AC228" s="3">
        <f t="shared" si="7"/>
        <v>350615.36000000004</v>
      </c>
      <c r="AE228" s="39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</row>
    <row r="229" spans="1:63" s="3" customFormat="1" ht="12">
      <c r="A229" s="3" t="s">
        <v>185</v>
      </c>
      <c r="C229" s="3" t="s">
        <v>186</v>
      </c>
      <c r="E229" s="3">
        <v>0</v>
      </c>
      <c r="G229" s="3">
        <v>490220.61</v>
      </c>
      <c r="I229" s="3">
        <v>0</v>
      </c>
      <c r="K229" s="3">
        <v>14364.8</v>
      </c>
      <c r="M229" s="3">
        <v>0</v>
      </c>
      <c r="O229" s="3">
        <v>8918.27</v>
      </c>
      <c r="Q229" s="3">
        <v>30263.17</v>
      </c>
      <c r="S229" s="3">
        <v>3021.81</v>
      </c>
      <c r="U229" s="3">
        <v>1590.75</v>
      </c>
      <c r="W229" s="3">
        <v>0</v>
      </c>
      <c r="Y229" s="3">
        <v>0</v>
      </c>
      <c r="AA229" s="3">
        <v>0</v>
      </c>
      <c r="AC229" s="3">
        <f t="shared" si="7"/>
        <v>548379.41</v>
      </c>
      <c r="AE229" s="39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</row>
    <row r="230" spans="1:63" s="3" customFormat="1" ht="12">
      <c r="A230" s="3" t="s">
        <v>187</v>
      </c>
      <c r="C230" s="3" t="s">
        <v>62</v>
      </c>
      <c r="E230" s="3">
        <v>0</v>
      </c>
      <c r="G230" s="3">
        <v>529470.04</v>
      </c>
      <c r="I230" s="3">
        <v>0</v>
      </c>
      <c r="K230" s="3">
        <v>15334.44</v>
      </c>
      <c r="M230" s="3">
        <v>0</v>
      </c>
      <c r="O230" s="3">
        <v>1876</v>
      </c>
      <c r="Q230" s="3">
        <v>21639.86</v>
      </c>
      <c r="S230" s="3">
        <v>8400.57</v>
      </c>
      <c r="U230" s="3">
        <v>0</v>
      </c>
      <c r="W230" s="3">
        <v>0</v>
      </c>
      <c r="Y230" s="3">
        <v>0</v>
      </c>
      <c r="AA230" s="3">
        <v>0</v>
      </c>
      <c r="AC230" s="3">
        <f t="shared" si="7"/>
        <v>576720.9099999999</v>
      </c>
      <c r="AE230" s="39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</row>
    <row r="231" spans="1:29" s="3" customFormat="1" ht="12" hidden="1">
      <c r="A231" s="3" t="s">
        <v>297</v>
      </c>
      <c r="C231" s="3" t="s">
        <v>45</v>
      </c>
      <c r="E231" s="9">
        <v>0</v>
      </c>
      <c r="F231" s="9"/>
      <c r="G231" s="9">
        <v>0</v>
      </c>
      <c r="H231" s="9"/>
      <c r="I231" s="9">
        <v>0</v>
      </c>
      <c r="J231" s="9"/>
      <c r="K231" s="9">
        <v>0</v>
      </c>
      <c r="L231" s="9"/>
      <c r="M231" s="9">
        <v>0</v>
      </c>
      <c r="N231" s="9"/>
      <c r="O231" s="9">
        <v>0</v>
      </c>
      <c r="P231" s="9"/>
      <c r="Q231" s="9">
        <v>0</v>
      </c>
      <c r="R231" s="9"/>
      <c r="S231" s="9">
        <v>0</v>
      </c>
      <c r="T231" s="9"/>
      <c r="U231" s="9">
        <v>0</v>
      </c>
      <c r="V231" s="9"/>
      <c r="W231" s="9">
        <v>0</v>
      </c>
      <c r="X231" s="9"/>
      <c r="Y231" s="9">
        <v>0</v>
      </c>
      <c r="Z231" s="9"/>
      <c r="AA231" s="9">
        <v>0</v>
      </c>
      <c r="AC231" s="3">
        <f t="shared" si="7"/>
        <v>0</v>
      </c>
    </row>
    <row r="232" spans="1:29" s="3" customFormat="1" ht="12" hidden="1">
      <c r="A232" s="3" t="s">
        <v>298</v>
      </c>
      <c r="C232" s="3" t="s">
        <v>186</v>
      </c>
      <c r="E232" s="9">
        <v>0</v>
      </c>
      <c r="F232" s="9"/>
      <c r="G232" s="9">
        <v>0</v>
      </c>
      <c r="H232" s="9"/>
      <c r="I232" s="9">
        <v>0</v>
      </c>
      <c r="J232" s="9"/>
      <c r="K232" s="9">
        <v>0</v>
      </c>
      <c r="L232" s="9"/>
      <c r="M232" s="9">
        <v>0</v>
      </c>
      <c r="N232" s="9"/>
      <c r="O232" s="9">
        <v>0</v>
      </c>
      <c r="P232" s="9"/>
      <c r="Q232" s="9">
        <v>0</v>
      </c>
      <c r="R232" s="9"/>
      <c r="S232" s="9">
        <v>0</v>
      </c>
      <c r="T232" s="9"/>
      <c r="U232" s="9">
        <v>0</v>
      </c>
      <c r="V232" s="9"/>
      <c r="W232" s="9">
        <v>0</v>
      </c>
      <c r="X232" s="9"/>
      <c r="Y232" s="9">
        <v>0</v>
      </c>
      <c r="Z232" s="9"/>
      <c r="AA232" s="9">
        <v>0</v>
      </c>
      <c r="AC232" s="3">
        <f t="shared" si="7"/>
        <v>0</v>
      </c>
    </row>
    <row r="233" spans="1:63" s="3" customFormat="1" ht="12">
      <c r="A233" s="9" t="s">
        <v>188</v>
      </c>
      <c r="B233" s="9"/>
      <c r="C233" s="9" t="s">
        <v>48</v>
      </c>
      <c r="D233" s="9"/>
      <c r="E233" s="3">
        <v>697743</v>
      </c>
      <c r="G233" s="3">
        <v>0</v>
      </c>
      <c r="I233" s="3">
        <v>30000</v>
      </c>
      <c r="K233" s="3">
        <v>13941</v>
      </c>
      <c r="M233" s="3">
        <v>0</v>
      </c>
      <c r="O233" s="3">
        <f>8103+4813</f>
        <v>12916</v>
      </c>
      <c r="Q233" s="3">
        <f>29718+6128+54087</f>
        <v>89933</v>
      </c>
      <c r="S233" s="3">
        <f>159+20155</f>
        <v>20314</v>
      </c>
      <c r="U233" s="3">
        <v>0</v>
      </c>
      <c r="W233" s="3">
        <v>0</v>
      </c>
      <c r="Y233" s="3">
        <v>0</v>
      </c>
      <c r="AA233" s="3">
        <v>0</v>
      </c>
      <c r="AB233" s="9"/>
      <c r="AC233" s="9">
        <f t="shared" si="7"/>
        <v>864847</v>
      </c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</row>
    <row r="234" spans="1:63" s="3" customFormat="1" ht="12">
      <c r="A234" s="3" t="s">
        <v>189</v>
      </c>
      <c r="C234" s="3" t="s">
        <v>190</v>
      </c>
      <c r="E234" s="3">
        <v>0</v>
      </c>
      <c r="G234" s="3">
        <v>1627942.96</v>
      </c>
      <c r="I234" s="3">
        <v>3379.04</v>
      </c>
      <c r="K234" s="3">
        <v>38167.14</v>
      </c>
      <c r="M234" s="3">
        <v>0</v>
      </c>
      <c r="O234" s="3">
        <v>44.95</v>
      </c>
      <c r="Q234" s="3">
        <v>91738.8</v>
      </c>
      <c r="S234" s="3">
        <v>2129.98</v>
      </c>
      <c r="U234" s="3">
        <v>0</v>
      </c>
      <c r="W234" s="3">
        <v>10000</v>
      </c>
      <c r="Y234" s="3">
        <v>0</v>
      </c>
      <c r="AA234" s="3">
        <v>0</v>
      </c>
      <c r="AC234" s="3">
        <f t="shared" si="7"/>
        <v>1773402.8699999999</v>
      </c>
      <c r="AE234" s="39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</row>
    <row r="235" spans="1:63" s="3" customFormat="1" ht="12">
      <c r="A235" s="3" t="s">
        <v>191</v>
      </c>
      <c r="C235" s="3" t="s">
        <v>46</v>
      </c>
      <c r="E235" s="3">
        <v>108690.87</v>
      </c>
      <c r="G235" s="3">
        <v>268378.86</v>
      </c>
      <c r="I235" s="3">
        <v>11599.55</v>
      </c>
      <c r="K235" s="3">
        <v>6760.44</v>
      </c>
      <c r="M235" s="3">
        <v>10</v>
      </c>
      <c r="O235" s="3">
        <v>7732.85</v>
      </c>
      <c r="Q235" s="3">
        <v>1176.7</v>
      </c>
      <c r="S235" s="3">
        <v>86.7</v>
      </c>
      <c r="U235" s="3">
        <v>0</v>
      </c>
      <c r="W235" s="3">
        <v>0</v>
      </c>
      <c r="Y235" s="3">
        <v>0</v>
      </c>
      <c r="AA235" s="3">
        <v>0</v>
      </c>
      <c r="AC235" s="3">
        <f t="shared" si="7"/>
        <v>404435.97</v>
      </c>
      <c r="AE235" s="43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</row>
    <row r="236" spans="1:63" s="3" customFormat="1" ht="12">
      <c r="A236" s="3" t="s">
        <v>192</v>
      </c>
      <c r="C236" s="3" t="s">
        <v>59</v>
      </c>
      <c r="E236" s="3">
        <v>0</v>
      </c>
      <c r="G236" s="3">
        <v>555171.44</v>
      </c>
      <c r="I236" s="3">
        <v>0</v>
      </c>
      <c r="K236" s="3">
        <v>17024.99</v>
      </c>
      <c r="M236" s="3">
        <v>0</v>
      </c>
      <c r="O236" s="3">
        <v>1715.02</v>
      </c>
      <c r="Q236" s="3">
        <v>18663.14</v>
      </c>
      <c r="S236" s="3">
        <v>231.57</v>
      </c>
      <c r="U236" s="3">
        <v>0</v>
      </c>
      <c r="W236" s="3">
        <v>0</v>
      </c>
      <c r="Y236" s="3">
        <v>0</v>
      </c>
      <c r="AA236" s="3">
        <v>0</v>
      </c>
      <c r="AC236" s="3">
        <f t="shared" si="7"/>
        <v>592806.1599999999</v>
      </c>
      <c r="AE236" s="39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</row>
    <row r="237" spans="1:63" s="3" customFormat="1" ht="12">
      <c r="A237" s="3" t="s">
        <v>193</v>
      </c>
      <c r="C237" s="3" t="s">
        <v>16</v>
      </c>
      <c r="E237" s="3">
        <v>0</v>
      </c>
      <c r="G237" s="3">
        <v>514786.59</v>
      </c>
      <c r="I237" s="3">
        <v>0</v>
      </c>
      <c r="K237" s="3">
        <v>14582.62</v>
      </c>
      <c r="M237" s="3">
        <v>0</v>
      </c>
      <c r="O237" s="3">
        <v>24305.79</v>
      </c>
      <c r="Q237" s="3">
        <v>16984.09</v>
      </c>
      <c r="S237" s="3">
        <v>5353.15</v>
      </c>
      <c r="U237" s="3">
        <v>0</v>
      </c>
      <c r="W237" s="3">
        <v>0</v>
      </c>
      <c r="Y237" s="3">
        <v>0</v>
      </c>
      <c r="AA237" s="3">
        <v>0</v>
      </c>
      <c r="AC237" s="3">
        <f t="shared" si="7"/>
        <v>576012.2400000001</v>
      </c>
      <c r="AE237" s="39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</row>
    <row r="238" spans="1:63" s="3" customFormat="1" ht="12">
      <c r="A238" s="44" t="s">
        <v>497</v>
      </c>
      <c r="B238" s="16"/>
      <c r="C238" s="16" t="s">
        <v>20</v>
      </c>
      <c r="D238" s="9"/>
      <c r="E238" s="3">
        <v>2275756</v>
      </c>
      <c r="G238" s="3">
        <v>0</v>
      </c>
      <c r="I238" s="3">
        <v>2377235</v>
      </c>
      <c r="K238" s="3">
        <v>77883</v>
      </c>
      <c r="M238" s="3">
        <v>0</v>
      </c>
      <c r="O238" s="3">
        <v>95917</v>
      </c>
      <c r="Q238" s="3">
        <v>614809</v>
      </c>
      <c r="S238" s="3">
        <v>12373</v>
      </c>
      <c r="U238" s="3">
        <v>0</v>
      </c>
      <c r="W238" s="3">
        <v>831000</v>
      </c>
      <c r="Y238" s="3">
        <v>0</v>
      </c>
      <c r="AA238" s="3">
        <v>0</v>
      </c>
      <c r="AB238" s="9"/>
      <c r="AC238" s="9">
        <f t="shared" si="7"/>
        <v>6284973</v>
      </c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</row>
    <row r="239" spans="1:63" s="3" customFormat="1" ht="12">
      <c r="A239" s="9" t="s">
        <v>10</v>
      </c>
      <c r="B239" s="9"/>
      <c r="C239" s="9" t="s">
        <v>11</v>
      </c>
      <c r="D239" s="9"/>
      <c r="E239" s="3">
        <v>0</v>
      </c>
      <c r="G239" s="3">
        <v>6082500</v>
      </c>
      <c r="I239" s="3">
        <v>5064</v>
      </c>
      <c r="K239" s="3">
        <v>215200</v>
      </c>
      <c r="M239" s="3">
        <v>0</v>
      </c>
      <c r="O239" s="3">
        <v>87932</v>
      </c>
      <c r="Q239" s="3">
        <v>580286</v>
      </c>
      <c r="S239" s="3">
        <v>5748</v>
      </c>
      <c r="U239" s="3">
        <v>0</v>
      </c>
      <c r="W239" s="3">
        <v>0</v>
      </c>
      <c r="Y239" s="3">
        <v>0</v>
      </c>
      <c r="Z239" s="9"/>
      <c r="AA239" s="9">
        <v>0</v>
      </c>
      <c r="AB239" s="9"/>
      <c r="AC239" s="9">
        <f t="shared" si="7"/>
        <v>6976730</v>
      </c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</row>
    <row r="240" spans="1:63" s="3" customFormat="1" ht="12">
      <c r="A240" s="3" t="s">
        <v>194</v>
      </c>
      <c r="C240" s="3" t="s">
        <v>57</v>
      </c>
      <c r="E240" s="3">
        <v>0</v>
      </c>
      <c r="G240" s="3">
        <v>843888.98</v>
      </c>
      <c r="I240" s="3">
        <v>0</v>
      </c>
      <c r="K240" s="3">
        <v>26275.58</v>
      </c>
      <c r="M240" s="3">
        <v>0</v>
      </c>
      <c r="O240" s="3">
        <v>12986.89</v>
      </c>
      <c r="Q240" s="3">
        <v>121936.73</v>
      </c>
      <c r="S240" s="3">
        <v>559.15</v>
      </c>
      <c r="U240" s="3">
        <v>0</v>
      </c>
      <c r="W240" s="3">
        <v>0</v>
      </c>
      <c r="Y240" s="3">
        <v>10495.79</v>
      </c>
      <c r="AA240" s="3">
        <v>0</v>
      </c>
      <c r="AC240" s="3">
        <f t="shared" si="7"/>
        <v>1016143.12</v>
      </c>
      <c r="AE240" s="39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</row>
    <row r="241" spans="1:63" s="3" customFormat="1" ht="12">
      <c r="A241" s="3" t="s">
        <v>195</v>
      </c>
      <c r="C241" s="3" t="s">
        <v>54</v>
      </c>
      <c r="E241" s="3">
        <v>0</v>
      </c>
      <c r="G241" s="3">
        <v>333823.33</v>
      </c>
      <c r="I241" s="3">
        <v>0</v>
      </c>
      <c r="K241" s="3">
        <v>6925.6</v>
      </c>
      <c r="M241" s="3">
        <v>0</v>
      </c>
      <c r="O241" s="3">
        <v>225</v>
      </c>
      <c r="Q241" s="3">
        <v>103082.7</v>
      </c>
      <c r="S241" s="3">
        <v>25916.51</v>
      </c>
      <c r="U241" s="3">
        <v>0</v>
      </c>
      <c r="W241" s="3">
        <v>173033.66</v>
      </c>
      <c r="Y241" s="3">
        <v>0</v>
      </c>
      <c r="AA241" s="3">
        <v>0</v>
      </c>
      <c r="AC241" s="3">
        <f t="shared" si="7"/>
        <v>643006.8</v>
      </c>
      <c r="AE241" s="39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</row>
    <row r="242" spans="1:63" s="3" customFormat="1" ht="12">
      <c r="A242" s="3" t="s">
        <v>196</v>
      </c>
      <c r="C242" s="3" t="s">
        <v>54</v>
      </c>
      <c r="E242" s="3">
        <v>0</v>
      </c>
      <c r="G242" s="3">
        <v>584489.76</v>
      </c>
      <c r="I242" s="3">
        <v>0</v>
      </c>
      <c r="K242" s="3">
        <v>8035.21</v>
      </c>
      <c r="M242" s="3">
        <v>0</v>
      </c>
      <c r="O242" s="3">
        <v>8921.41</v>
      </c>
      <c r="Q242" s="3">
        <v>95251.29</v>
      </c>
      <c r="S242" s="3">
        <v>25479.91</v>
      </c>
      <c r="U242" s="3">
        <v>0</v>
      </c>
      <c r="W242" s="3">
        <v>0</v>
      </c>
      <c r="Y242" s="3">
        <v>0</v>
      </c>
      <c r="AA242" s="3">
        <v>0</v>
      </c>
      <c r="AC242" s="3">
        <f t="shared" si="7"/>
        <v>722177.5800000001</v>
      </c>
      <c r="AE242" s="39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</row>
    <row r="243" spans="1:63" s="3" customFormat="1" ht="12">
      <c r="A243" s="3" t="s">
        <v>197</v>
      </c>
      <c r="C243" s="3" t="s">
        <v>63</v>
      </c>
      <c r="E243" s="3">
        <v>0</v>
      </c>
      <c r="G243" s="3">
        <v>174131.36</v>
      </c>
      <c r="I243" s="3">
        <v>596.5</v>
      </c>
      <c r="K243" s="3">
        <v>5734.96</v>
      </c>
      <c r="M243" s="3">
        <v>1110.72</v>
      </c>
      <c r="O243" s="3">
        <v>9968.69</v>
      </c>
      <c r="Q243" s="3">
        <v>1250.43</v>
      </c>
      <c r="S243" s="3">
        <v>0</v>
      </c>
      <c r="U243" s="3">
        <v>0</v>
      </c>
      <c r="W243" s="3">
        <v>0</v>
      </c>
      <c r="Y243" s="3">
        <v>0</v>
      </c>
      <c r="AA243" s="3">
        <v>0</v>
      </c>
      <c r="AC243" s="3">
        <f aca="true" t="shared" si="8" ref="AC243:AC271">SUM(E243:AA243)</f>
        <v>192792.65999999997</v>
      </c>
      <c r="AE243" s="39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</row>
    <row r="244" spans="1:63" s="3" customFormat="1" ht="12">
      <c r="A244" s="9" t="s">
        <v>198</v>
      </c>
      <c r="B244" s="9"/>
      <c r="C244" s="9" t="s">
        <v>104</v>
      </c>
      <c r="D244" s="9"/>
      <c r="E244" s="3">
        <v>0</v>
      </c>
      <c r="G244" s="3">
        <v>3686248</v>
      </c>
      <c r="I244" s="3">
        <v>0</v>
      </c>
      <c r="K244" s="3">
        <v>78032</v>
      </c>
      <c r="M244" s="3">
        <v>5902</v>
      </c>
      <c r="O244" s="3">
        <v>11413</v>
      </c>
      <c r="Q244" s="3">
        <v>142257</v>
      </c>
      <c r="S244" s="3">
        <v>25346</v>
      </c>
      <c r="U244" s="3">
        <v>0</v>
      </c>
      <c r="W244" s="3">
        <v>0</v>
      </c>
      <c r="Y244" s="3">
        <v>0</v>
      </c>
      <c r="AA244" s="3">
        <v>0</v>
      </c>
      <c r="AB244" s="9"/>
      <c r="AC244" s="9">
        <f t="shared" si="8"/>
        <v>3949198</v>
      </c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</row>
    <row r="245" spans="1:63" s="3" customFormat="1" ht="12">
      <c r="A245" s="9" t="s">
        <v>199</v>
      </c>
      <c r="B245" s="9"/>
      <c r="C245" s="9" t="s">
        <v>93</v>
      </c>
      <c r="D245" s="9"/>
      <c r="E245" s="3">
        <v>0</v>
      </c>
      <c r="G245" s="3">
        <v>1574942</v>
      </c>
      <c r="I245" s="3">
        <v>0</v>
      </c>
      <c r="K245" s="3">
        <v>43892</v>
      </c>
      <c r="M245" s="3">
        <v>0</v>
      </c>
      <c r="O245" s="3">
        <v>1799</v>
      </c>
      <c r="Q245" s="3">
        <v>122209</v>
      </c>
      <c r="S245" s="3">
        <v>22241</v>
      </c>
      <c r="T245" s="9"/>
      <c r="U245" s="9">
        <v>0</v>
      </c>
      <c r="V245" s="9"/>
      <c r="W245" s="9">
        <v>0</v>
      </c>
      <c r="X245" s="9"/>
      <c r="Y245" s="9">
        <v>0</v>
      </c>
      <c r="Z245" s="9"/>
      <c r="AA245" s="9">
        <v>0</v>
      </c>
      <c r="AB245" s="9"/>
      <c r="AC245" s="9">
        <f t="shared" si="8"/>
        <v>1765083</v>
      </c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</row>
    <row r="246" spans="1:29" s="3" customFormat="1" ht="12" hidden="1">
      <c r="A246" s="3" t="s">
        <v>41</v>
      </c>
      <c r="C246" s="3" t="s">
        <v>45</v>
      </c>
      <c r="E246" s="9">
        <v>0</v>
      </c>
      <c r="F246" s="9"/>
      <c r="G246" s="9">
        <v>0</v>
      </c>
      <c r="H246" s="9"/>
      <c r="I246" s="9">
        <v>0</v>
      </c>
      <c r="J246" s="9"/>
      <c r="K246" s="9">
        <v>0</v>
      </c>
      <c r="L246" s="9"/>
      <c r="M246" s="9">
        <v>0</v>
      </c>
      <c r="N246" s="9"/>
      <c r="O246" s="9">
        <v>0</v>
      </c>
      <c r="P246" s="9"/>
      <c r="Q246" s="9">
        <v>0</v>
      </c>
      <c r="R246" s="9"/>
      <c r="S246" s="9">
        <v>0</v>
      </c>
      <c r="T246" s="9"/>
      <c r="U246" s="9">
        <v>0</v>
      </c>
      <c r="V246" s="9"/>
      <c r="W246" s="9">
        <v>0</v>
      </c>
      <c r="X246" s="9"/>
      <c r="Y246" s="9">
        <v>0</v>
      </c>
      <c r="Z246" s="9"/>
      <c r="AA246" s="9">
        <v>0</v>
      </c>
      <c r="AC246" s="3">
        <f t="shared" si="8"/>
        <v>0</v>
      </c>
    </row>
    <row r="247" spans="1:63" s="3" customFormat="1" ht="12">
      <c r="A247" s="9" t="s">
        <v>200</v>
      </c>
      <c r="B247" s="9"/>
      <c r="C247" s="9" t="s">
        <v>201</v>
      </c>
      <c r="D247" s="9"/>
      <c r="E247" s="3">
        <v>0</v>
      </c>
      <c r="G247" s="3">
        <v>1003084</v>
      </c>
      <c r="I247" s="3">
        <v>0</v>
      </c>
      <c r="K247" s="3">
        <v>40622</v>
      </c>
      <c r="M247" s="3">
        <v>0</v>
      </c>
      <c r="O247" s="3">
        <v>1255</v>
      </c>
      <c r="Q247" s="3">
        <v>130803</v>
      </c>
      <c r="S247" s="3">
        <v>31341</v>
      </c>
      <c r="U247" s="3">
        <v>0</v>
      </c>
      <c r="W247" s="3">
        <v>650000</v>
      </c>
      <c r="Y247" s="3">
        <v>0</v>
      </c>
      <c r="AA247" s="3">
        <v>0</v>
      </c>
      <c r="AB247" s="9"/>
      <c r="AC247" s="9">
        <f t="shared" si="8"/>
        <v>1857105</v>
      </c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</row>
    <row r="248" spans="1:63" s="3" customFormat="1" ht="12">
      <c r="A248" s="9" t="s">
        <v>12</v>
      </c>
      <c r="B248" s="9"/>
      <c r="C248" s="9" t="s">
        <v>13</v>
      </c>
      <c r="D248" s="9"/>
      <c r="E248" s="3">
        <v>293859</v>
      </c>
      <c r="G248" s="3">
        <v>608300</v>
      </c>
      <c r="I248" s="3">
        <v>0</v>
      </c>
      <c r="K248" s="3">
        <v>23987</v>
      </c>
      <c r="M248" s="3">
        <v>0</v>
      </c>
      <c r="O248" s="3">
        <v>1285</v>
      </c>
      <c r="Q248" s="3">
        <v>55942</v>
      </c>
      <c r="S248" s="3">
        <v>1788</v>
      </c>
      <c r="U248" s="3">
        <v>0</v>
      </c>
      <c r="W248" s="3">
        <v>322300</v>
      </c>
      <c r="Y248" s="3">
        <v>0</v>
      </c>
      <c r="Z248" s="9"/>
      <c r="AA248" s="9">
        <v>0</v>
      </c>
      <c r="AB248" s="9"/>
      <c r="AC248" s="9">
        <f t="shared" si="8"/>
        <v>1307461</v>
      </c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</row>
    <row r="249" spans="1:29" s="3" customFormat="1" ht="12" hidden="1">
      <c r="A249" s="3" t="s">
        <v>312</v>
      </c>
      <c r="C249" s="3" t="s">
        <v>68</v>
      </c>
      <c r="E249" s="9">
        <v>0</v>
      </c>
      <c r="F249" s="9"/>
      <c r="G249" s="9">
        <v>0</v>
      </c>
      <c r="H249" s="9"/>
      <c r="I249" s="9">
        <v>0</v>
      </c>
      <c r="J249" s="9"/>
      <c r="K249" s="9">
        <v>0</v>
      </c>
      <c r="L249" s="9"/>
      <c r="M249" s="9">
        <v>0</v>
      </c>
      <c r="N249" s="9"/>
      <c r="O249" s="9">
        <v>0</v>
      </c>
      <c r="P249" s="9"/>
      <c r="Q249" s="9">
        <v>0</v>
      </c>
      <c r="R249" s="9"/>
      <c r="S249" s="9">
        <v>0</v>
      </c>
      <c r="T249" s="9"/>
      <c r="U249" s="9">
        <v>0</v>
      </c>
      <c r="V249" s="9"/>
      <c r="W249" s="9">
        <v>0</v>
      </c>
      <c r="X249" s="9"/>
      <c r="Y249" s="9">
        <v>0</v>
      </c>
      <c r="Z249" s="9"/>
      <c r="AA249" s="9">
        <v>0</v>
      </c>
      <c r="AC249" s="3">
        <f t="shared" si="8"/>
        <v>0</v>
      </c>
    </row>
    <row r="250" spans="1:29" s="3" customFormat="1" ht="12" hidden="1">
      <c r="A250" s="3" t="s">
        <v>313</v>
      </c>
      <c r="C250" s="3" t="s">
        <v>54</v>
      </c>
      <c r="E250" s="9">
        <v>0</v>
      </c>
      <c r="F250" s="9"/>
      <c r="G250" s="9">
        <v>0</v>
      </c>
      <c r="H250" s="9"/>
      <c r="I250" s="9">
        <v>0</v>
      </c>
      <c r="J250" s="9"/>
      <c r="K250" s="9">
        <v>0</v>
      </c>
      <c r="L250" s="9"/>
      <c r="M250" s="9">
        <v>0</v>
      </c>
      <c r="N250" s="9"/>
      <c r="O250" s="9">
        <v>0</v>
      </c>
      <c r="P250" s="9"/>
      <c r="Q250" s="9">
        <v>0</v>
      </c>
      <c r="R250" s="9"/>
      <c r="S250" s="9">
        <v>0</v>
      </c>
      <c r="T250" s="9"/>
      <c r="U250" s="9">
        <v>0</v>
      </c>
      <c r="V250" s="9"/>
      <c r="W250" s="9">
        <v>0</v>
      </c>
      <c r="X250" s="9"/>
      <c r="Y250" s="9">
        <v>0</v>
      </c>
      <c r="Z250" s="9"/>
      <c r="AA250" s="9">
        <v>0</v>
      </c>
      <c r="AC250" s="3">
        <f t="shared" si="8"/>
        <v>0</v>
      </c>
    </row>
    <row r="251" spans="1:29" s="3" customFormat="1" ht="12" hidden="1">
      <c r="A251" s="3" t="s">
        <v>314</v>
      </c>
      <c r="C251" s="3" t="s">
        <v>68</v>
      </c>
      <c r="E251" s="9">
        <v>0</v>
      </c>
      <c r="F251" s="9"/>
      <c r="G251" s="9">
        <v>0</v>
      </c>
      <c r="H251" s="9"/>
      <c r="I251" s="9">
        <v>0</v>
      </c>
      <c r="J251" s="9"/>
      <c r="K251" s="9">
        <v>0</v>
      </c>
      <c r="L251" s="9"/>
      <c r="M251" s="9">
        <v>0</v>
      </c>
      <c r="N251" s="9"/>
      <c r="O251" s="9">
        <v>0</v>
      </c>
      <c r="P251" s="9"/>
      <c r="Q251" s="9">
        <v>0</v>
      </c>
      <c r="R251" s="9"/>
      <c r="S251" s="9">
        <v>0</v>
      </c>
      <c r="T251" s="9"/>
      <c r="U251" s="9">
        <v>0</v>
      </c>
      <c r="V251" s="9"/>
      <c r="W251" s="9">
        <v>0</v>
      </c>
      <c r="X251" s="9"/>
      <c r="Y251" s="9">
        <v>0</v>
      </c>
      <c r="Z251" s="9"/>
      <c r="AA251" s="9">
        <v>0</v>
      </c>
      <c r="AC251" s="3">
        <f t="shared" si="8"/>
        <v>0</v>
      </c>
    </row>
    <row r="252" spans="1:29" s="3" customFormat="1" ht="12" hidden="1">
      <c r="A252" s="3" t="s">
        <v>42</v>
      </c>
      <c r="C252" s="3" t="s">
        <v>16</v>
      </c>
      <c r="E252" s="9">
        <v>0</v>
      </c>
      <c r="F252" s="9"/>
      <c r="G252" s="9">
        <v>0</v>
      </c>
      <c r="H252" s="9"/>
      <c r="I252" s="9">
        <v>0</v>
      </c>
      <c r="J252" s="9"/>
      <c r="K252" s="9">
        <v>0</v>
      </c>
      <c r="L252" s="9"/>
      <c r="M252" s="9">
        <v>0</v>
      </c>
      <c r="N252" s="9"/>
      <c r="O252" s="9">
        <v>0</v>
      </c>
      <c r="P252" s="9"/>
      <c r="Q252" s="9">
        <v>0</v>
      </c>
      <c r="R252" s="9"/>
      <c r="S252" s="9">
        <v>0</v>
      </c>
      <c r="T252" s="9"/>
      <c r="U252" s="9">
        <v>0</v>
      </c>
      <c r="V252" s="9"/>
      <c r="W252" s="9">
        <v>0</v>
      </c>
      <c r="X252" s="9"/>
      <c r="Y252" s="9">
        <v>0</v>
      </c>
      <c r="Z252" s="9"/>
      <c r="AA252" s="9">
        <v>0</v>
      </c>
      <c r="AC252" s="3">
        <f t="shared" si="8"/>
        <v>0</v>
      </c>
    </row>
    <row r="253" spans="1:63" s="3" customFormat="1" ht="12">
      <c r="A253" s="9" t="s">
        <v>202</v>
      </c>
      <c r="B253" s="9"/>
      <c r="C253" s="9" t="s">
        <v>60</v>
      </c>
      <c r="D253" s="9"/>
      <c r="E253" s="3">
        <v>4273652</v>
      </c>
      <c r="G253" s="3">
        <v>4579726</v>
      </c>
      <c r="I253" s="3">
        <v>758658</v>
      </c>
      <c r="K253" s="3">
        <v>118144</v>
      </c>
      <c r="M253" s="3">
        <v>9700</v>
      </c>
      <c r="O253" s="3">
        <v>135946</v>
      </c>
      <c r="Q253" s="3">
        <v>442234</v>
      </c>
      <c r="S253" s="3">
        <v>36640</v>
      </c>
      <c r="U253" s="3">
        <v>0</v>
      </c>
      <c r="W253" s="3">
        <v>497450</v>
      </c>
      <c r="Y253" s="3">
        <v>0</v>
      </c>
      <c r="Z253" s="9"/>
      <c r="AA253" s="9">
        <v>0</v>
      </c>
      <c r="AB253" s="9"/>
      <c r="AC253" s="9">
        <f t="shared" si="8"/>
        <v>10852150</v>
      </c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</row>
    <row r="254" spans="1:63" s="3" customFormat="1" ht="12">
      <c r="A254" s="9" t="s">
        <v>203</v>
      </c>
      <c r="B254" s="9"/>
      <c r="C254" s="9" t="s">
        <v>87</v>
      </c>
      <c r="D254" s="9"/>
      <c r="E254" s="3">
        <v>3769</v>
      </c>
      <c r="G254" s="3">
        <v>693771</v>
      </c>
      <c r="I254" s="3">
        <v>0</v>
      </c>
      <c r="K254" s="3">
        <v>17184</v>
      </c>
      <c r="M254" s="3">
        <v>362</v>
      </c>
      <c r="O254" s="3">
        <v>36209</v>
      </c>
      <c r="Q254" s="3">
        <v>16906</v>
      </c>
      <c r="S254" s="3">
        <v>1186</v>
      </c>
      <c r="T254" s="9"/>
      <c r="U254" s="9">
        <v>0</v>
      </c>
      <c r="V254" s="9"/>
      <c r="W254" s="9">
        <v>0</v>
      </c>
      <c r="X254" s="9"/>
      <c r="Y254" s="9">
        <v>0</v>
      </c>
      <c r="Z254" s="9"/>
      <c r="AA254" s="9">
        <v>0</v>
      </c>
      <c r="AB254" s="9"/>
      <c r="AC254" s="9">
        <f t="shared" si="8"/>
        <v>769387</v>
      </c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</row>
    <row r="255" spans="1:63" s="3" customFormat="1" ht="12">
      <c r="A255" s="3" t="s">
        <v>355</v>
      </c>
      <c r="C255" s="3" t="s">
        <v>26</v>
      </c>
      <c r="E255" s="3">
        <v>693003.02</v>
      </c>
      <c r="G255" s="3">
        <v>0</v>
      </c>
      <c r="I255" s="3">
        <v>0</v>
      </c>
      <c r="K255" s="3">
        <v>26732.37</v>
      </c>
      <c r="M255" s="3">
        <v>8602.79</v>
      </c>
      <c r="O255" s="3">
        <v>9677.7</v>
      </c>
      <c r="Q255" s="3">
        <v>32903.34</v>
      </c>
      <c r="S255" s="3">
        <v>2400.61</v>
      </c>
      <c r="U255" s="3">
        <v>3993</v>
      </c>
      <c r="W255" s="3">
        <v>0</v>
      </c>
      <c r="Y255" s="3">
        <v>0</v>
      </c>
      <c r="AA255" s="3">
        <v>0</v>
      </c>
      <c r="AC255" s="3">
        <f t="shared" si="8"/>
        <v>777312.83</v>
      </c>
      <c r="AE255" s="39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</row>
    <row r="256" spans="1:29" s="3" customFormat="1" ht="12" hidden="1">
      <c r="A256" s="3" t="s">
        <v>318</v>
      </c>
      <c r="C256" s="3" t="s">
        <v>72</v>
      </c>
      <c r="E256" s="9">
        <v>0</v>
      </c>
      <c r="F256" s="9"/>
      <c r="G256" s="9">
        <v>0</v>
      </c>
      <c r="H256" s="9"/>
      <c r="I256" s="9">
        <v>0</v>
      </c>
      <c r="J256" s="9"/>
      <c r="K256" s="9">
        <v>0</v>
      </c>
      <c r="L256" s="9"/>
      <c r="M256" s="9">
        <v>0</v>
      </c>
      <c r="N256" s="9"/>
      <c r="O256" s="9">
        <v>0</v>
      </c>
      <c r="P256" s="9"/>
      <c r="Q256" s="9">
        <v>0</v>
      </c>
      <c r="R256" s="9"/>
      <c r="S256" s="9">
        <v>0</v>
      </c>
      <c r="T256" s="9"/>
      <c r="U256" s="9">
        <v>0</v>
      </c>
      <c r="V256" s="9"/>
      <c r="W256" s="9">
        <v>0</v>
      </c>
      <c r="X256" s="9"/>
      <c r="Y256" s="9">
        <v>0</v>
      </c>
      <c r="Z256" s="9"/>
      <c r="AA256" s="9">
        <v>0</v>
      </c>
      <c r="AC256" s="3">
        <f t="shared" si="8"/>
        <v>0</v>
      </c>
    </row>
    <row r="257" spans="1:63" s="3" customFormat="1" ht="12">
      <c r="A257" s="9" t="s">
        <v>205</v>
      </c>
      <c r="B257" s="9"/>
      <c r="C257" s="9" t="s">
        <v>16</v>
      </c>
      <c r="D257" s="9"/>
      <c r="E257" s="3">
        <v>285178</v>
      </c>
      <c r="G257" s="3">
        <v>0</v>
      </c>
      <c r="I257" s="3">
        <v>844008</v>
      </c>
      <c r="K257" s="3">
        <v>34085</v>
      </c>
      <c r="M257" s="3">
        <v>0</v>
      </c>
      <c r="O257" s="3">
        <v>12692</v>
      </c>
      <c r="Q257" s="3">
        <v>70213</v>
      </c>
      <c r="S257" s="3">
        <v>150</v>
      </c>
      <c r="U257" s="3">
        <v>0</v>
      </c>
      <c r="W257" s="3">
        <v>0</v>
      </c>
      <c r="Y257" s="3">
        <v>0</v>
      </c>
      <c r="AA257" s="3">
        <v>475</v>
      </c>
      <c r="AB257" s="9"/>
      <c r="AC257" s="9">
        <f t="shared" si="8"/>
        <v>1246801</v>
      </c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</row>
    <row r="258" spans="1:29" s="3" customFormat="1" ht="12" hidden="1">
      <c r="A258" s="3" t="s">
        <v>320</v>
      </c>
      <c r="C258" s="3" t="s">
        <v>84</v>
      </c>
      <c r="E258" s="9">
        <v>0</v>
      </c>
      <c r="F258" s="9"/>
      <c r="G258" s="9">
        <v>0</v>
      </c>
      <c r="H258" s="9"/>
      <c r="I258" s="9">
        <v>0</v>
      </c>
      <c r="J258" s="9"/>
      <c r="K258" s="9">
        <v>0</v>
      </c>
      <c r="L258" s="9"/>
      <c r="M258" s="9">
        <v>0</v>
      </c>
      <c r="N258" s="9"/>
      <c r="O258" s="9">
        <v>0</v>
      </c>
      <c r="P258" s="9"/>
      <c r="Q258" s="9">
        <v>0</v>
      </c>
      <c r="R258" s="9"/>
      <c r="S258" s="9">
        <v>0</v>
      </c>
      <c r="T258" s="9"/>
      <c r="U258" s="9">
        <v>0</v>
      </c>
      <c r="V258" s="9"/>
      <c r="W258" s="9">
        <v>0</v>
      </c>
      <c r="X258" s="9"/>
      <c r="Y258" s="9">
        <v>0</v>
      </c>
      <c r="Z258" s="9"/>
      <c r="AA258" s="9">
        <v>0</v>
      </c>
      <c r="AC258" s="3">
        <f t="shared" si="8"/>
        <v>0</v>
      </c>
    </row>
    <row r="259" spans="1:29" s="3" customFormat="1" ht="12" hidden="1">
      <c r="A259" s="3" t="s">
        <v>321</v>
      </c>
      <c r="C259" s="3" t="s">
        <v>73</v>
      </c>
      <c r="E259" s="9">
        <v>0</v>
      </c>
      <c r="F259" s="9"/>
      <c r="G259" s="9">
        <v>0</v>
      </c>
      <c r="H259" s="9"/>
      <c r="I259" s="9">
        <v>0</v>
      </c>
      <c r="J259" s="9"/>
      <c r="K259" s="9">
        <v>0</v>
      </c>
      <c r="L259" s="9"/>
      <c r="M259" s="9">
        <v>0</v>
      </c>
      <c r="N259" s="9"/>
      <c r="O259" s="9">
        <v>0</v>
      </c>
      <c r="P259" s="9"/>
      <c r="Q259" s="9">
        <v>0</v>
      </c>
      <c r="R259" s="9"/>
      <c r="S259" s="9">
        <v>0</v>
      </c>
      <c r="T259" s="9"/>
      <c r="U259" s="9">
        <v>0</v>
      </c>
      <c r="V259" s="9"/>
      <c r="W259" s="9">
        <v>0</v>
      </c>
      <c r="X259" s="9"/>
      <c r="Y259" s="9">
        <v>0</v>
      </c>
      <c r="Z259" s="9"/>
      <c r="AA259" s="9">
        <v>0</v>
      </c>
      <c r="AC259" s="3">
        <f t="shared" si="8"/>
        <v>0</v>
      </c>
    </row>
    <row r="260" spans="1:63" s="3" customFormat="1" ht="12">
      <c r="A260" s="9" t="s">
        <v>206</v>
      </c>
      <c r="B260" s="9"/>
      <c r="C260" s="9" t="s">
        <v>207</v>
      </c>
      <c r="D260" s="9"/>
      <c r="E260" s="3">
        <v>3579466</v>
      </c>
      <c r="G260" s="3">
        <v>4487369</v>
      </c>
      <c r="I260" s="3">
        <v>331069</v>
      </c>
      <c r="K260" s="3">
        <v>210162</v>
      </c>
      <c r="M260" s="3">
        <v>0</v>
      </c>
      <c r="O260" s="3">
        <v>21389</v>
      </c>
      <c r="Q260" s="3">
        <v>269833</v>
      </c>
      <c r="S260" s="3">
        <v>155517</v>
      </c>
      <c r="U260" s="3">
        <v>0</v>
      </c>
      <c r="W260" s="3">
        <v>504015</v>
      </c>
      <c r="X260" s="9"/>
      <c r="Y260" s="9">
        <v>0</v>
      </c>
      <c r="Z260" s="9"/>
      <c r="AA260" s="9">
        <v>0</v>
      </c>
      <c r="AB260" s="9"/>
      <c r="AC260" s="9">
        <f t="shared" si="8"/>
        <v>9558820</v>
      </c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</row>
    <row r="261" spans="1:29" s="3" customFormat="1" ht="12" hidden="1">
      <c r="A261" s="3" t="s">
        <v>323</v>
      </c>
      <c r="C261" s="3" t="s">
        <v>58</v>
      </c>
      <c r="E261" s="9">
        <v>0</v>
      </c>
      <c r="F261" s="9"/>
      <c r="G261" s="9">
        <v>0</v>
      </c>
      <c r="H261" s="9"/>
      <c r="I261" s="9">
        <v>0</v>
      </c>
      <c r="J261" s="9"/>
      <c r="K261" s="9">
        <v>0</v>
      </c>
      <c r="L261" s="9"/>
      <c r="M261" s="9">
        <v>0</v>
      </c>
      <c r="N261" s="9"/>
      <c r="O261" s="9">
        <v>0</v>
      </c>
      <c r="P261" s="9"/>
      <c r="Q261" s="9">
        <v>0</v>
      </c>
      <c r="R261" s="9"/>
      <c r="S261" s="9">
        <v>0</v>
      </c>
      <c r="T261" s="9"/>
      <c r="U261" s="9">
        <v>0</v>
      </c>
      <c r="V261" s="9"/>
      <c r="W261" s="9">
        <v>0</v>
      </c>
      <c r="X261" s="9"/>
      <c r="Y261" s="9">
        <v>0</v>
      </c>
      <c r="Z261" s="9"/>
      <c r="AA261" s="9">
        <v>0</v>
      </c>
      <c r="AC261" s="3">
        <f t="shared" si="8"/>
        <v>0</v>
      </c>
    </row>
    <row r="262" spans="1:63" s="3" customFormat="1" ht="12">
      <c r="A262" s="3" t="s">
        <v>208</v>
      </c>
      <c r="C262" s="3" t="s">
        <v>109</v>
      </c>
      <c r="E262" s="3">
        <v>0</v>
      </c>
      <c r="G262" s="3">
        <v>61316.65</v>
      </c>
      <c r="I262" s="3">
        <v>0</v>
      </c>
      <c r="K262" s="3">
        <v>827.18</v>
      </c>
      <c r="M262" s="3">
        <v>0</v>
      </c>
      <c r="O262" s="3">
        <v>0</v>
      </c>
      <c r="Q262" s="3">
        <v>4578.8</v>
      </c>
      <c r="S262" s="3">
        <v>0</v>
      </c>
      <c r="U262" s="3">
        <v>0</v>
      </c>
      <c r="W262" s="3">
        <v>0</v>
      </c>
      <c r="Y262" s="3">
        <v>0</v>
      </c>
      <c r="AA262" s="3">
        <v>0</v>
      </c>
      <c r="AC262" s="3">
        <f t="shared" si="8"/>
        <v>66722.63</v>
      </c>
      <c r="AE262" s="39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</row>
    <row r="263" spans="1:63" s="3" customFormat="1" ht="12">
      <c r="A263" s="9" t="s">
        <v>209</v>
      </c>
      <c r="B263" s="9"/>
      <c r="C263" s="9" t="s">
        <v>210</v>
      </c>
      <c r="D263" s="9"/>
      <c r="E263" s="3">
        <v>0</v>
      </c>
      <c r="G263" s="3">
        <v>2446308</v>
      </c>
      <c r="I263" s="3">
        <v>0</v>
      </c>
      <c r="K263" s="3">
        <v>78357</v>
      </c>
      <c r="M263" s="3">
        <v>0</v>
      </c>
      <c r="O263" s="3">
        <v>7243</v>
      </c>
      <c r="Q263" s="3">
        <v>63798</v>
      </c>
      <c r="S263" s="3">
        <v>43801</v>
      </c>
      <c r="U263" s="3">
        <v>0</v>
      </c>
      <c r="W263" s="3">
        <v>0</v>
      </c>
      <c r="X263" s="9"/>
      <c r="Y263" s="9">
        <v>0</v>
      </c>
      <c r="Z263" s="9"/>
      <c r="AA263" s="9">
        <v>0</v>
      </c>
      <c r="AB263" s="9"/>
      <c r="AC263" s="9">
        <f t="shared" si="8"/>
        <v>2639507</v>
      </c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</row>
    <row r="264" spans="1:63" s="3" customFormat="1" ht="12">
      <c r="A264" s="9" t="s">
        <v>486</v>
      </c>
      <c r="B264" s="9"/>
      <c r="C264" s="9" t="s">
        <v>14</v>
      </c>
      <c r="D264" s="9"/>
      <c r="E264" s="3">
        <v>0</v>
      </c>
      <c r="G264" s="3">
        <v>1162484</v>
      </c>
      <c r="I264" s="3">
        <v>0</v>
      </c>
      <c r="K264" s="3">
        <v>31405</v>
      </c>
      <c r="M264" s="3">
        <v>0</v>
      </c>
      <c r="O264" s="3">
        <v>9304</v>
      </c>
      <c r="Q264" s="3">
        <v>10068</v>
      </c>
      <c r="S264" s="3">
        <v>10258</v>
      </c>
      <c r="T264" s="9"/>
      <c r="U264" s="9">
        <v>0</v>
      </c>
      <c r="V264" s="9"/>
      <c r="W264" s="9">
        <v>0</v>
      </c>
      <c r="X264" s="9"/>
      <c r="Y264" s="9">
        <v>0</v>
      </c>
      <c r="Z264" s="9"/>
      <c r="AA264" s="9">
        <v>5000</v>
      </c>
      <c r="AB264" s="9"/>
      <c r="AC264" s="3">
        <f t="shared" si="8"/>
        <v>1228519</v>
      </c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</row>
    <row r="265" spans="1:63" s="3" customFormat="1" ht="12">
      <c r="A265" s="3" t="s">
        <v>486</v>
      </c>
      <c r="C265" s="3" t="s">
        <v>14</v>
      </c>
      <c r="E265" s="3">
        <v>0</v>
      </c>
      <c r="G265" s="3">
        <v>1162483.51</v>
      </c>
      <c r="I265" s="3">
        <v>0</v>
      </c>
      <c r="K265" s="3">
        <v>31404.9</v>
      </c>
      <c r="M265" s="3">
        <v>0</v>
      </c>
      <c r="O265" s="3">
        <v>10719.59</v>
      </c>
      <c r="Q265" s="3">
        <v>26490.95</v>
      </c>
      <c r="S265" s="3">
        <v>10258.41</v>
      </c>
      <c r="U265" s="3">
        <v>0</v>
      </c>
      <c r="W265" s="3">
        <v>0</v>
      </c>
      <c r="Y265" s="3">
        <v>0</v>
      </c>
      <c r="AA265" s="3">
        <v>5000</v>
      </c>
      <c r="AC265" s="3">
        <f t="shared" si="8"/>
        <v>1246357.3599999999</v>
      </c>
      <c r="AE265" s="39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</row>
    <row r="266" spans="1:63" s="3" customFormat="1" ht="12">
      <c r="A266" s="3" t="s">
        <v>211</v>
      </c>
      <c r="C266" s="3" t="s">
        <v>207</v>
      </c>
      <c r="E266" s="3">
        <v>0</v>
      </c>
      <c r="G266" s="3">
        <v>540151.94</v>
      </c>
      <c r="I266" s="3">
        <v>500</v>
      </c>
      <c r="K266" s="3">
        <v>23574.57</v>
      </c>
      <c r="M266" s="3">
        <v>0</v>
      </c>
      <c r="O266" s="3">
        <v>13852.45</v>
      </c>
      <c r="Q266" s="3">
        <v>101368.81</v>
      </c>
      <c r="S266" s="3">
        <v>6412.5</v>
      </c>
      <c r="U266" s="3">
        <v>655</v>
      </c>
      <c r="W266" s="3">
        <v>0</v>
      </c>
      <c r="Y266" s="3">
        <v>0</v>
      </c>
      <c r="AA266" s="3">
        <v>0</v>
      </c>
      <c r="AC266" s="3">
        <f t="shared" si="8"/>
        <v>686515.2699999998</v>
      </c>
      <c r="AE266" s="39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</row>
    <row r="267" spans="1:63" s="3" customFormat="1" ht="12">
      <c r="A267" s="3" t="s">
        <v>212</v>
      </c>
      <c r="C267" s="3" t="s">
        <v>57</v>
      </c>
      <c r="E267" s="3">
        <v>0</v>
      </c>
      <c r="G267" s="3">
        <v>688674.8</v>
      </c>
      <c r="I267" s="3">
        <v>1390</v>
      </c>
      <c r="K267" s="3">
        <v>17539.08</v>
      </c>
      <c r="M267" s="3">
        <v>0</v>
      </c>
      <c r="O267" s="3">
        <v>11626.38</v>
      </c>
      <c r="Q267" s="3">
        <v>32471.49</v>
      </c>
      <c r="S267" s="3">
        <v>9718.81</v>
      </c>
      <c r="U267" s="3">
        <v>0</v>
      </c>
      <c r="W267" s="3">
        <v>125000</v>
      </c>
      <c r="Y267" s="3">
        <v>0</v>
      </c>
      <c r="AA267" s="3">
        <v>0</v>
      </c>
      <c r="AC267" s="3">
        <f t="shared" si="8"/>
        <v>886420.56</v>
      </c>
      <c r="AE267" s="39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</row>
    <row r="268" spans="1:63" s="3" customFormat="1" ht="12">
      <c r="A268" s="3" t="s">
        <v>213</v>
      </c>
      <c r="C268" s="3" t="s">
        <v>64</v>
      </c>
      <c r="E268" s="3">
        <v>0</v>
      </c>
      <c r="G268" s="3">
        <v>557015.37</v>
      </c>
      <c r="I268" s="3">
        <v>0</v>
      </c>
      <c r="K268" s="3">
        <v>18637.94</v>
      </c>
      <c r="M268" s="3">
        <v>0</v>
      </c>
      <c r="O268" s="3">
        <v>7169.02</v>
      </c>
      <c r="Q268" s="3">
        <v>211872.01</v>
      </c>
      <c r="S268" s="3">
        <v>32721.92</v>
      </c>
      <c r="U268" s="3">
        <v>0</v>
      </c>
      <c r="W268" s="3">
        <v>189665.7</v>
      </c>
      <c r="Y268" s="3">
        <v>0</v>
      </c>
      <c r="AA268" s="3">
        <v>0</v>
      </c>
      <c r="AC268" s="3">
        <f t="shared" si="8"/>
        <v>1017081.96</v>
      </c>
      <c r="AE268" s="39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</row>
    <row r="269" spans="1:63" s="12" customFormat="1" ht="12">
      <c r="A269" s="9" t="s">
        <v>214</v>
      </c>
      <c r="B269" s="9"/>
      <c r="C269" s="9" t="s">
        <v>215</v>
      </c>
      <c r="D269" s="9"/>
      <c r="E269" s="3">
        <v>817095</v>
      </c>
      <c r="F269" s="3"/>
      <c r="G269" s="3">
        <v>752640</v>
      </c>
      <c r="H269" s="3"/>
      <c r="I269" s="3">
        <v>0</v>
      </c>
      <c r="J269" s="3"/>
      <c r="K269" s="3">
        <v>59547</v>
      </c>
      <c r="L269" s="3"/>
      <c r="M269" s="3">
        <v>0</v>
      </c>
      <c r="N269" s="3"/>
      <c r="O269" s="3">
        <v>13491</v>
      </c>
      <c r="P269" s="3"/>
      <c r="Q269" s="3">
        <v>37482</v>
      </c>
      <c r="R269" s="9"/>
      <c r="S269" s="9">
        <v>0</v>
      </c>
      <c r="T269" s="9"/>
      <c r="U269" s="9">
        <v>0</v>
      </c>
      <c r="V269" s="9"/>
      <c r="W269" s="9">
        <v>165000</v>
      </c>
      <c r="X269" s="9"/>
      <c r="Y269" s="9">
        <v>0</v>
      </c>
      <c r="Z269" s="9"/>
      <c r="AA269" s="9">
        <v>0</v>
      </c>
      <c r="AB269" s="9"/>
      <c r="AC269" s="9">
        <f t="shared" si="8"/>
        <v>1845255</v>
      </c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</row>
    <row r="270" spans="1:63" s="12" customFormat="1" ht="12">
      <c r="A270" s="3" t="s">
        <v>216</v>
      </c>
      <c r="B270" s="3"/>
      <c r="C270" s="3" t="s">
        <v>57</v>
      </c>
      <c r="D270" s="3"/>
      <c r="E270" s="3">
        <v>0</v>
      </c>
      <c r="F270" s="3"/>
      <c r="G270" s="3">
        <v>1222499.09</v>
      </c>
      <c r="H270" s="3"/>
      <c r="I270" s="3">
        <v>0</v>
      </c>
      <c r="J270" s="3"/>
      <c r="K270" s="3">
        <v>47220.81</v>
      </c>
      <c r="L270" s="3"/>
      <c r="M270" s="3">
        <v>0</v>
      </c>
      <c r="N270" s="3"/>
      <c r="O270" s="3">
        <v>15503.54</v>
      </c>
      <c r="P270" s="3"/>
      <c r="Q270" s="3">
        <v>94310.19</v>
      </c>
      <c r="R270" s="3"/>
      <c r="S270" s="3">
        <v>2488.96</v>
      </c>
      <c r="T270" s="3"/>
      <c r="U270" s="3">
        <v>0</v>
      </c>
      <c r="V270" s="3"/>
      <c r="W270" s="3">
        <v>0</v>
      </c>
      <c r="X270" s="3"/>
      <c r="Y270" s="3">
        <v>0</v>
      </c>
      <c r="Z270" s="3"/>
      <c r="AA270" s="3">
        <v>0</v>
      </c>
      <c r="AB270" s="3"/>
      <c r="AC270" s="3">
        <f t="shared" si="8"/>
        <v>1382022.59</v>
      </c>
      <c r="AD270" s="3"/>
      <c r="AE270" s="39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</row>
    <row r="271" spans="1:63" s="3" customFormat="1" ht="12">
      <c r="A271" s="3" t="s">
        <v>528</v>
      </c>
      <c r="C271" s="3" t="s">
        <v>26</v>
      </c>
      <c r="E271" s="3">
        <v>827461.71</v>
      </c>
      <c r="G271" s="3">
        <v>1615644.24</v>
      </c>
      <c r="I271" s="3">
        <v>53685.95</v>
      </c>
      <c r="K271" s="3">
        <v>46791.41</v>
      </c>
      <c r="M271" s="3">
        <v>0</v>
      </c>
      <c r="O271" s="3">
        <v>29309.61</v>
      </c>
      <c r="Q271" s="3">
        <v>66225.84</v>
      </c>
      <c r="S271" s="3">
        <v>14000.21</v>
      </c>
      <c r="U271" s="3">
        <v>446</v>
      </c>
      <c r="W271" s="3">
        <v>112000</v>
      </c>
      <c r="Y271" s="3">
        <v>0</v>
      </c>
      <c r="AA271" s="3">
        <v>0</v>
      </c>
      <c r="AC271" s="3">
        <f t="shared" si="8"/>
        <v>2765564.97</v>
      </c>
      <c r="AE271" s="39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</row>
    <row r="272" spans="29:63" s="3" customFormat="1" ht="12">
      <c r="AC272" s="45" t="s">
        <v>8</v>
      </c>
      <c r="AE272" s="39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</row>
    <row r="273" spans="1:63" s="4" customFormat="1" ht="12">
      <c r="A273" s="4" t="s">
        <v>218</v>
      </c>
      <c r="C273" s="4" t="s">
        <v>150</v>
      </c>
      <c r="E273" s="4">
        <v>0</v>
      </c>
      <c r="G273" s="4">
        <v>313937.28</v>
      </c>
      <c r="I273" s="4">
        <v>0</v>
      </c>
      <c r="K273" s="4">
        <v>8611.82</v>
      </c>
      <c r="M273" s="4">
        <v>0</v>
      </c>
      <c r="O273" s="4">
        <v>4785.84</v>
      </c>
      <c r="Q273" s="4">
        <v>1311.86</v>
      </c>
      <c r="S273" s="4">
        <v>1647.45</v>
      </c>
      <c r="U273" s="4">
        <v>0</v>
      </c>
      <c r="W273" s="4">
        <v>0</v>
      </c>
      <c r="Y273" s="4">
        <v>0</v>
      </c>
      <c r="AA273" s="4">
        <v>0</v>
      </c>
      <c r="AC273" s="4">
        <f aca="true" t="shared" si="9" ref="AC273:AC304">SUM(E273:AA273)</f>
        <v>330294.25000000006</v>
      </c>
      <c r="AE273" s="37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</row>
    <row r="274" spans="1:29" s="3" customFormat="1" ht="12">
      <c r="A274" s="9" t="s">
        <v>500</v>
      </c>
      <c r="B274" s="9"/>
      <c r="C274" s="9" t="s">
        <v>59</v>
      </c>
      <c r="E274" s="3">
        <v>0</v>
      </c>
      <c r="G274" s="3">
        <v>1101668</v>
      </c>
      <c r="I274" s="3">
        <v>1250</v>
      </c>
      <c r="K274" s="3">
        <v>26130</v>
      </c>
      <c r="M274" s="3">
        <v>0</v>
      </c>
      <c r="O274" s="3">
        <v>11127</v>
      </c>
      <c r="Q274" s="3">
        <v>24524</v>
      </c>
      <c r="S274" s="3">
        <v>84040</v>
      </c>
      <c r="T274" s="9"/>
      <c r="U274" s="9">
        <v>0</v>
      </c>
      <c r="V274" s="9"/>
      <c r="W274" s="9">
        <v>0</v>
      </c>
      <c r="X274" s="9"/>
      <c r="Y274" s="9">
        <v>0</v>
      </c>
      <c r="Z274" s="9"/>
      <c r="AA274" s="9">
        <v>0</v>
      </c>
      <c r="AC274" s="3">
        <f t="shared" si="9"/>
        <v>1248739</v>
      </c>
    </row>
    <row r="275" spans="1:63" s="3" customFormat="1" ht="12">
      <c r="A275" s="3" t="s">
        <v>219</v>
      </c>
      <c r="C275" s="3" t="s">
        <v>65</v>
      </c>
      <c r="E275" s="3">
        <v>0</v>
      </c>
      <c r="G275" s="3">
        <v>311660.34</v>
      </c>
      <c r="I275" s="3">
        <v>0</v>
      </c>
      <c r="K275" s="3">
        <v>7801.32</v>
      </c>
      <c r="M275" s="3">
        <v>0</v>
      </c>
      <c r="O275" s="3">
        <v>9346.86</v>
      </c>
      <c r="Q275" s="3">
        <v>28423.79</v>
      </c>
      <c r="S275" s="3">
        <v>190.77</v>
      </c>
      <c r="U275" s="3">
        <v>0</v>
      </c>
      <c r="W275" s="3">
        <v>0</v>
      </c>
      <c r="Y275" s="3">
        <v>0</v>
      </c>
      <c r="AA275" s="3">
        <v>0</v>
      </c>
      <c r="AC275" s="3">
        <f t="shared" si="9"/>
        <v>357423.08</v>
      </c>
      <c r="AE275" s="39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</row>
    <row r="276" spans="1:29" s="3" customFormat="1" ht="12">
      <c r="A276" s="3" t="s">
        <v>220</v>
      </c>
      <c r="C276" s="3" t="s">
        <v>21</v>
      </c>
      <c r="E276" s="3">
        <v>6414637</v>
      </c>
      <c r="G276" s="3">
        <v>3879829</v>
      </c>
      <c r="I276" s="3">
        <v>0</v>
      </c>
      <c r="K276" s="3">
        <v>130263</v>
      </c>
      <c r="M276" s="3">
        <v>0</v>
      </c>
      <c r="O276" s="3">
        <v>65030</v>
      </c>
      <c r="Q276" s="3">
        <v>1215321</v>
      </c>
      <c r="S276" s="3">
        <v>28405</v>
      </c>
      <c r="T276" s="9"/>
      <c r="U276" s="9">
        <v>0</v>
      </c>
      <c r="V276" s="9"/>
      <c r="W276" s="9">
        <v>0</v>
      </c>
      <c r="X276" s="9"/>
      <c r="Y276" s="9">
        <v>0</v>
      </c>
      <c r="Z276" s="9"/>
      <c r="AA276" s="9">
        <v>0</v>
      </c>
      <c r="AC276" s="3">
        <f t="shared" si="9"/>
        <v>11733485</v>
      </c>
    </row>
    <row r="277" spans="1:63" s="3" customFormat="1" ht="12">
      <c r="A277" s="3" t="s">
        <v>576</v>
      </c>
      <c r="C277" s="3" t="s">
        <v>489</v>
      </c>
      <c r="E277" s="3">
        <v>0</v>
      </c>
      <c r="G277" s="3">
        <v>874016.91</v>
      </c>
      <c r="I277" s="3">
        <v>0</v>
      </c>
      <c r="K277" s="3">
        <v>15807.96</v>
      </c>
      <c r="M277" s="3">
        <v>0</v>
      </c>
      <c r="O277" s="3">
        <v>950.29</v>
      </c>
      <c r="Q277" s="3">
        <v>45434.01</v>
      </c>
      <c r="S277" s="3">
        <v>4772.04</v>
      </c>
      <c r="U277" s="3">
        <v>0</v>
      </c>
      <c r="W277" s="3">
        <v>175000</v>
      </c>
      <c r="Y277" s="3">
        <v>0</v>
      </c>
      <c r="AA277" s="3">
        <v>0</v>
      </c>
      <c r="AC277" s="3">
        <f t="shared" si="9"/>
        <v>1115981.21</v>
      </c>
      <c r="AE277" s="39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</row>
    <row r="278" spans="1:63" s="3" customFormat="1" ht="12">
      <c r="A278" s="3" t="s">
        <v>542</v>
      </c>
      <c r="C278" s="3" t="s">
        <v>53</v>
      </c>
      <c r="E278" s="3">
        <v>0</v>
      </c>
      <c r="G278" s="3">
        <v>965175.91</v>
      </c>
      <c r="I278" s="3">
        <v>0</v>
      </c>
      <c r="K278" s="3">
        <v>14288.69</v>
      </c>
      <c r="M278" s="3">
        <v>0</v>
      </c>
      <c r="O278" s="3">
        <v>4138.4</v>
      </c>
      <c r="Q278" s="3">
        <v>16984.84</v>
      </c>
      <c r="S278" s="3">
        <v>12204.77</v>
      </c>
      <c r="U278" s="3">
        <v>0</v>
      </c>
      <c r="W278" s="3">
        <v>75000</v>
      </c>
      <c r="Y278" s="3">
        <v>0</v>
      </c>
      <c r="AA278" s="3">
        <v>0</v>
      </c>
      <c r="AC278" s="3">
        <f t="shared" si="9"/>
        <v>1087792.6099999999</v>
      </c>
      <c r="AE278" s="39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</row>
    <row r="279" spans="1:29" s="3" customFormat="1" ht="12">
      <c r="A279" s="3" t="s">
        <v>222</v>
      </c>
      <c r="C279" s="3" t="s">
        <v>11</v>
      </c>
      <c r="E279" s="3">
        <v>0</v>
      </c>
      <c r="G279" s="3">
        <v>5481189</v>
      </c>
      <c r="I279" s="3">
        <v>0</v>
      </c>
      <c r="K279" s="3">
        <v>241434</v>
      </c>
      <c r="M279" s="3">
        <v>9533</v>
      </c>
      <c r="O279" s="3">
        <v>16940</v>
      </c>
      <c r="Q279" s="3">
        <v>332579</v>
      </c>
      <c r="S279" s="3">
        <v>887</v>
      </c>
      <c r="T279" s="9"/>
      <c r="U279" s="9">
        <v>0</v>
      </c>
      <c r="V279" s="9"/>
      <c r="W279" s="9">
        <v>250000</v>
      </c>
      <c r="X279" s="9"/>
      <c r="Y279" s="9">
        <v>0</v>
      </c>
      <c r="Z279" s="9"/>
      <c r="AA279" s="9">
        <v>0</v>
      </c>
      <c r="AC279" s="3">
        <f t="shared" si="9"/>
        <v>6332562</v>
      </c>
    </row>
    <row r="280" spans="1:63" s="3" customFormat="1" ht="12">
      <c r="A280" s="3" t="s">
        <v>223</v>
      </c>
      <c r="C280" s="3" t="s">
        <v>182</v>
      </c>
      <c r="E280" s="3">
        <v>354274.77</v>
      </c>
      <c r="G280" s="3">
        <v>419552.53</v>
      </c>
      <c r="I280" s="3">
        <v>38410.65</v>
      </c>
      <c r="K280" s="3">
        <v>17785.23</v>
      </c>
      <c r="M280" s="3">
        <v>690</v>
      </c>
      <c r="O280" s="3">
        <v>2166.2</v>
      </c>
      <c r="Q280" s="3">
        <v>162118.58</v>
      </c>
      <c r="S280" s="3">
        <v>0</v>
      </c>
      <c r="U280" s="3">
        <v>0</v>
      </c>
      <c r="W280" s="3">
        <v>0</v>
      </c>
      <c r="Y280" s="3">
        <v>0</v>
      </c>
      <c r="AA280" s="3">
        <v>0</v>
      </c>
      <c r="AC280" s="3">
        <f t="shared" si="9"/>
        <v>994997.96</v>
      </c>
      <c r="AE280" s="39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</row>
    <row r="281" spans="1:63" s="3" customFormat="1" ht="12">
      <c r="A281" s="3" t="s">
        <v>224</v>
      </c>
      <c r="C281" s="3" t="s">
        <v>56</v>
      </c>
      <c r="E281" s="3">
        <v>0</v>
      </c>
      <c r="G281" s="3">
        <v>425860.06</v>
      </c>
      <c r="I281" s="3">
        <v>0</v>
      </c>
      <c r="K281" s="3">
        <v>10381.87</v>
      </c>
      <c r="M281" s="3">
        <v>0</v>
      </c>
      <c r="O281" s="3">
        <v>2355</v>
      </c>
      <c r="Q281" s="3">
        <v>13868.92</v>
      </c>
      <c r="S281" s="3">
        <v>9853.98</v>
      </c>
      <c r="U281" s="3">
        <v>0</v>
      </c>
      <c r="W281" s="3">
        <v>0</v>
      </c>
      <c r="Y281" s="3">
        <v>0</v>
      </c>
      <c r="AA281" s="3">
        <v>0</v>
      </c>
      <c r="AC281" s="3">
        <f t="shared" si="9"/>
        <v>462319.82999999996</v>
      </c>
      <c r="AE281" s="39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</row>
    <row r="282" spans="1:63" s="3" customFormat="1" ht="12">
      <c r="A282" s="3" t="s">
        <v>225</v>
      </c>
      <c r="C282" s="3" t="s">
        <v>26</v>
      </c>
      <c r="E282" s="3">
        <v>0</v>
      </c>
      <c r="G282" s="3">
        <v>831944.7</v>
      </c>
      <c r="I282" s="3">
        <v>0</v>
      </c>
      <c r="K282" s="3">
        <v>23886.55</v>
      </c>
      <c r="M282" s="3">
        <v>0</v>
      </c>
      <c r="O282" s="3">
        <v>7763.59</v>
      </c>
      <c r="Q282" s="3">
        <v>7470.24</v>
      </c>
      <c r="S282" s="3">
        <v>273.75</v>
      </c>
      <c r="U282" s="3">
        <v>0</v>
      </c>
      <c r="W282" s="3">
        <v>0</v>
      </c>
      <c r="Y282" s="3">
        <v>0</v>
      </c>
      <c r="AA282" s="3">
        <v>0</v>
      </c>
      <c r="AC282" s="3">
        <f t="shared" si="9"/>
        <v>871338.83</v>
      </c>
      <c r="AE282" s="39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</row>
    <row r="283" spans="1:63" s="3" customFormat="1" ht="12">
      <c r="A283" s="3" t="s">
        <v>226</v>
      </c>
      <c r="C283" s="3" t="s">
        <v>66</v>
      </c>
      <c r="E283" s="3">
        <v>0</v>
      </c>
      <c r="G283" s="3">
        <v>242446.68</v>
      </c>
      <c r="I283" s="3">
        <v>0</v>
      </c>
      <c r="K283" s="3">
        <v>9218.63</v>
      </c>
      <c r="M283" s="3">
        <v>0</v>
      </c>
      <c r="O283" s="3">
        <v>19699.83</v>
      </c>
      <c r="Q283" s="3">
        <v>1150.72</v>
      </c>
      <c r="S283" s="3">
        <v>427.77</v>
      </c>
      <c r="U283" s="3">
        <v>0</v>
      </c>
      <c r="W283" s="3">
        <v>0</v>
      </c>
      <c r="Y283" s="3">
        <v>0</v>
      </c>
      <c r="AA283" s="3">
        <v>0</v>
      </c>
      <c r="AC283" s="3">
        <f t="shared" si="9"/>
        <v>272943.63</v>
      </c>
      <c r="AE283" s="39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</row>
    <row r="284" spans="1:63" s="3" customFormat="1" ht="12">
      <c r="A284" s="3" t="s">
        <v>608</v>
      </c>
      <c r="C284" s="3" t="s">
        <v>67</v>
      </c>
      <c r="E284" s="3">
        <v>0</v>
      </c>
      <c r="G284" s="3">
        <v>568233.15</v>
      </c>
      <c r="I284" s="3">
        <v>0</v>
      </c>
      <c r="K284" s="3">
        <v>16751.22</v>
      </c>
      <c r="M284" s="3">
        <v>0</v>
      </c>
      <c r="O284" s="3">
        <v>60.97</v>
      </c>
      <c r="Q284" s="3">
        <v>1313.96</v>
      </c>
      <c r="S284" s="3">
        <v>6696.48</v>
      </c>
      <c r="U284" s="3">
        <v>0</v>
      </c>
      <c r="W284" s="3">
        <v>0</v>
      </c>
      <c r="Y284" s="3">
        <v>0</v>
      </c>
      <c r="AA284" s="3">
        <v>0</v>
      </c>
      <c r="AC284" s="3">
        <f t="shared" si="9"/>
        <v>593055.7799999999</v>
      </c>
      <c r="AE284" s="39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</row>
    <row r="285" spans="1:29" s="3" customFormat="1" ht="12">
      <c r="A285" s="3" t="s">
        <v>228</v>
      </c>
      <c r="C285" s="3" t="s">
        <v>95</v>
      </c>
      <c r="E285" s="3">
        <v>122097</v>
      </c>
      <c r="G285" s="3">
        <v>0</v>
      </c>
      <c r="I285" s="3">
        <v>0</v>
      </c>
      <c r="K285" s="3">
        <v>3010</v>
      </c>
      <c r="M285" s="3">
        <v>0</v>
      </c>
      <c r="O285" s="3">
        <v>2387</v>
      </c>
      <c r="Q285" s="3">
        <v>10179</v>
      </c>
      <c r="S285" s="3">
        <v>2050</v>
      </c>
      <c r="T285" s="9"/>
      <c r="U285" s="9">
        <v>0</v>
      </c>
      <c r="V285" s="9"/>
      <c r="W285" s="9">
        <v>0</v>
      </c>
      <c r="X285" s="9"/>
      <c r="Y285" s="9">
        <v>0</v>
      </c>
      <c r="Z285" s="9"/>
      <c r="AA285" s="9">
        <v>0</v>
      </c>
      <c r="AC285" s="3">
        <f t="shared" si="9"/>
        <v>139723</v>
      </c>
    </row>
    <row r="286" spans="1:29" s="3" customFormat="1" ht="12">
      <c r="A286" s="3" t="s">
        <v>229</v>
      </c>
      <c r="C286" s="3" t="s">
        <v>230</v>
      </c>
      <c r="E286" s="3">
        <v>0</v>
      </c>
      <c r="G286" s="3">
        <v>271350</v>
      </c>
      <c r="I286" s="3">
        <v>0</v>
      </c>
      <c r="K286" s="3">
        <v>9693</v>
      </c>
      <c r="M286" s="3">
        <v>0</v>
      </c>
      <c r="O286" s="3">
        <v>1785</v>
      </c>
      <c r="Q286" s="3">
        <f>32349+5189</f>
        <v>37538</v>
      </c>
      <c r="S286" s="3">
        <v>2090</v>
      </c>
      <c r="T286" s="9"/>
      <c r="U286" s="9">
        <v>0</v>
      </c>
      <c r="V286" s="9"/>
      <c r="W286" s="9">
        <v>0</v>
      </c>
      <c r="X286" s="9"/>
      <c r="Y286" s="9">
        <v>0</v>
      </c>
      <c r="Z286" s="9"/>
      <c r="AA286" s="9">
        <v>0</v>
      </c>
      <c r="AC286" s="3">
        <f t="shared" si="9"/>
        <v>322456</v>
      </c>
    </row>
    <row r="287" spans="1:29" s="3" customFormat="1" ht="12">
      <c r="A287" s="3" t="s">
        <v>231</v>
      </c>
      <c r="C287" s="3" t="s">
        <v>16</v>
      </c>
      <c r="E287" s="3">
        <v>1819239</v>
      </c>
      <c r="G287" s="3">
        <v>1656451</v>
      </c>
      <c r="I287" s="3">
        <v>262439</v>
      </c>
      <c r="K287" s="3">
        <v>76442</v>
      </c>
      <c r="M287" s="3">
        <v>0</v>
      </c>
      <c r="O287" s="3">
        <v>9594</v>
      </c>
      <c r="Q287" s="3">
        <v>412835</v>
      </c>
      <c r="S287" s="3">
        <v>9103</v>
      </c>
      <c r="U287" s="3">
        <v>55</v>
      </c>
      <c r="V287" s="9"/>
      <c r="W287" s="9">
        <v>1894752</v>
      </c>
      <c r="X287" s="9"/>
      <c r="Y287" s="9">
        <v>0</v>
      </c>
      <c r="Z287" s="9"/>
      <c r="AA287" s="9">
        <v>0</v>
      </c>
      <c r="AC287" s="3">
        <f t="shared" si="9"/>
        <v>6140910</v>
      </c>
    </row>
    <row r="288" spans="1:29" s="3" customFormat="1" ht="12">
      <c r="A288" s="3" t="s">
        <v>232</v>
      </c>
      <c r="C288" s="3" t="s">
        <v>71</v>
      </c>
      <c r="E288" s="3">
        <v>0</v>
      </c>
      <c r="G288" s="3">
        <v>282717</v>
      </c>
      <c r="I288" s="3">
        <v>0</v>
      </c>
      <c r="K288" s="3">
        <v>11616</v>
      </c>
      <c r="M288" s="3">
        <v>7000</v>
      </c>
      <c r="O288" s="3">
        <v>3141</v>
      </c>
      <c r="Q288" s="3">
        <v>26040</v>
      </c>
      <c r="S288" s="3">
        <v>1089</v>
      </c>
      <c r="U288" s="3">
        <v>0</v>
      </c>
      <c r="W288" s="3">
        <v>0</v>
      </c>
      <c r="Y288" s="3">
        <v>0</v>
      </c>
      <c r="AA288" s="3">
        <v>0</v>
      </c>
      <c r="AB288" s="9"/>
      <c r="AC288" s="9">
        <f t="shared" si="9"/>
        <v>331603</v>
      </c>
    </row>
    <row r="289" spans="1:63" s="3" customFormat="1" ht="12">
      <c r="A289" s="3" t="s">
        <v>233</v>
      </c>
      <c r="C289" s="3" t="s">
        <v>13</v>
      </c>
      <c r="E289" s="3">
        <v>0</v>
      </c>
      <c r="G289" s="3">
        <v>231733.2</v>
      </c>
      <c r="I289" s="3">
        <v>0</v>
      </c>
      <c r="K289" s="3">
        <v>4914.98</v>
      </c>
      <c r="M289" s="3">
        <v>0</v>
      </c>
      <c r="O289" s="3">
        <v>6016.85</v>
      </c>
      <c r="Q289" s="3">
        <v>11794.43</v>
      </c>
      <c r="S289" s="3">
        <v>48293.38</v>
      </c>
      <c r="U289" s="3">
        <v>993</v>
      </c>
      <c r="W289" s="3">
        <v>0</v>
      </c>
      <c r="Y289" s="3">
        <v>0</v>
      </c>
      <c r="AA289" s="3">
        <v>2230.36</v>
      </c>
      <c r="AC289" s="3">
        <f t="shared" si="9"/>
        <v>305976.2</v>
      </c>
      <c r="AE289" s="39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</row>
    <row r="290" spans="1:63" s="3" customFormat="1" ht="12">
      <c r="A290" s="9" t="s">
        <v>487</v>
      </c>
      <c r="B290" s="9"/>
      <c r="C290" s="9" t="s">
        <v>17</v>
      </c>
      <c r="D290" s="9"/>
      <c r="E290" s="3">
        <v>268067</v>
      </c>
      <c r="G290" s="3">
        <v>0</v>
      </c>
      <c r="I290" s="3">
        <v>1652551</v>
      </c>
      <c r="K290" s="3">
        <v>0</v>
      </c>
      <c r="M290" s="3">
        <v>40302</v>
      </c>
      <c r="O290" s="3">
        <v>0</v>
      </c>
      <c r="Q290" s="3">
        <v>43864</v>
      </c>
      <c r="S290" s="3">
        <v>15048</v>
      </c>
      <c r="U290" s="3">
        <v>0</v>
      </c>
      <c r="W290" s="3">
        <v>30058</v>
      </c>
      <c r="Y290" s="3">
        <v>0</v>
      </c>
      <c r="Z290" s="9"/>
      <c r="AA290" s="9">
        <v>0</v>
      </c>
      <c r="AB290" s="9"/>
      <c r="AC290" s="9">
        <f t="shared" si="9"/>
        <v>2049890</v>
      </c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</row>
    <row r="291" spans="1:29" s="3" customFormat="1" ht="12">
      <c r="A291" s="3" t="s">
        <v>234</v>
      </c>
      <c r="C291" s="3" t="s">
        <v>235</v>
      </c>
      <c r="E291" s="3">
        <v>0</v>
      </c>
      <c r="G291" s="3">
        <v>3147987</v>
      </c>
      <c r="I291" s="3">
        <v>0</v>
      </c>
      <c r="K291" s="3">
        <v>112375</v>
      </c>
      <c r="M291" s="3">
        <v>0</v>
      </c>
      <c r="O291" s="3">
        <v>88550</v>
      </c>
      <c r="Q291" s="3">
        <v>233259</v>
      </c>
      <c r="S291" s="3">
        <f>8125+11606</f>
        <v>19731</v>
      </c>
      <c r="U291" s="3">
        <v>0</v>
      </c>
      <c r="W291" s="3">
        <v>70787</v>
      </c>
      <c r="Y291" s="9">
        <v>0</v>
      </c>
      <c r="Z291" s="9"/>
      <c r="AA291" s="9">
        <v>0</v>
      </c>
      <c r="AC291" s="3">
        <f t="shared" si="9"/>
        <v>3672689</v>
      </c>
    </row>
    <row r="292" spans="1:29" s="3" customFormat="1" ht="12">
      <c r="A292" s="3" t="s">
        <v>358</v>
      </c>
      <c r="C292" s="3" t="s">
        <v>63</v>
      </c>
      <c r="E292" s="3">
        <v>229168</v>
      </c>
      <c r="G292" s="3">
        <v>554433</v>
      </c>
      <c r="I292" s="3">
        <v>0</v>
      </c>
      <c r="K292" s="3">
        <v>13090</v>
      </c>
      <c r="M292" s="3">
        <v>0</v>
      </c>
      <c r="O292" s="3">
        <v>12460</v>
      </c>
      <c r="Q292" s="3">
        <f>5131+46100</f>
        <v>51231</v>
      </c>
      <c r="S292" s="3">
        <v>5526</v>
      </c>
      <c r="T292" s="9"/>
      <c r="U292" s="9">
        <v>0</v>
      </c>
      <c r="V292" s="9"/>
      <c r="W292" s="9">
        <v>100000</v>
      </c>
      <c r="X292" s="9"/>
      <c r="Y292" s="9">
        <v>0</v>
      </c>
      <c r="Z292" s="9"/>
      <c r="AA292" s="9">
        <v>0</v>
      </c>
      <c r="AC292" s="3">
        <f t="shared" si="9"/>
        <v>965908</v>
      </c>
    </row>
    <row r="293" spans="1:63" s="3" customFormat="1" ht="12">
      <c r="A293" s="3" t="s">
        <v>529</v>
      </c>
      <c r="C293" s="3" t="s">
        <v>237</v>
      </c>
      <c r="E293" s="3">
        <v>0</v>
      </c>
      <c r="G293" s="3">
        <v>2208955.85</v>
      </c>
      <c r="I293" s="3">
        <v>12364</v>
      </c>
      <c r="K293" s="3">
        <v>34107.2</v>
      </c>
      <c r="M293" s="3">
        <v>0</v>
      </c>
      <c r="O293" s="3">
        <v>7271</v>
      </c>
      <c r="Q293" s="3">
        <v>4793.58</v>
      </c>
      <c r="S293" s="3">
        <v>29385.59</v>
      </c>
      <c r="U293" s="3">
        <v>0</v>
      </c>
      <c r="W293" s="3">
        <v>3367.4</v>
      </c>
      <c r="Y293" s="3">
        <v>0</v>
      </c>
      <c r="AA293" s="3">
        <v>0</v>
      </c>
      <c r="AC293" s="3">
        <f t="shared" si="9"/>
        <v>2300244.62</v>
      </c>
      <c r="AE293" s="39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</row>
    <row r="294" spans="1:29" s="3" customFormat="1" ht="12">
      <c r="A294" s="9" t="s">
        <v>501</v>
      </c>
      <c r="B294" s="9"/>
      <c r="C294" s="9" t="s">
        <v>59</v>
      </c>
      <c r="D294" s="9"/>
      <c r="E294" s="3">
        <v>0</v>
      </c>
      <c r="G294" s="3">
        <v>1201574</v>
      </c>
      <c r="I294" s="3">
        <v>0</v>
      </c>
      <c r="K294" s="3">
        <v>288936</v>
      </c>
      <c r="M294" s="3">
        <v>0</v>
      </c>
      <c r="O294" s="3">
        <v>0</v>
      </c>
      <c r="Q294" s="3">
        <v>25290</v>
      </c>
      <c r="S294" s="3">
        <v>1472570</v>
      </c>
      <c r="U294" s="3">
        <v>0</v>
      </c>
      <c r="W294" s="3">
        <v>5134</v>
      </c>
      <c r="Y294" s="3">
        <v>799829</v>
      </c>
      <c r="AA294" s="3">
        <v>0</v>
      </c>
      <c r="AB294" s="9"/>
      <c r="AC294" s="9">
        <f t="shared" si="9"/>
        <v>3793333</v>
      </c>
    </row>
    <row r="295" spans="1:63" s="3" customFormat="1" ht="12">
      <c r="A295" s="3" t="s">
        <v>530</v>
      </c>
      <c r="C295" s="3" t="s">
        <v>123</v>
      </c>
      <c r="E295" s="3">
        <v>588851.02</v>
      </c>
      <c r="G295" s="3">
        <v>0</v>
      </c>
      <c r="I295" s="3">
        <v>0</v>
      </c>
      <c r="K295" s="3">
        <v>17193.57</v>
      </c>
      <c r="M295" s="3">
        <v>0</v>
      </c>
      <c r="O295" s="3">
        <v>12087</v>
      </c>
      <c r="Q295" s="3">
        <v>2419.02</v>
      </c>
      <c r="S295" s="3">
        <v>2680.51</v>
      </c>
      <c r="U295" s="3">
        <v>0</v>
      </c>
      <c r="W295" s="3">
        <v>0</v>
      </c>
      <c r="Y295" s="3">
        <v>0</v>
      </c>
      <c r="AA295" s="3">
        <v>0</v>
      </c>
      <c r="AC295" s="3">
        <f t="shared" si="9"/>
        <v>623231.12</v>
      </c>
      <c r="AE295" s="39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</row>
    <row r="296" spans="1:29" s="3" customFormat="1" ht="12">
      <c r="A296" s="3" t="s">
        <v>392</v>
      </c>
      <c r="C296" s="3" t="s">
        <v>95</v>
      </c>
      <c r="E296" s="3">
        <v>260245</v>
      </c>
      <c r="G296" s="3">
        <v>0</v>
      </c>
      <c r="I296" s="3">
        <v>0</v>
      </c>
      <c r="K296" s="3">
        <f>5617+2526</f>
        <v>8143</v>
      </c>
      <c r="M296" s="3">
        <v>0</v>
      </c>
      <c r="O296" s="3">
        <v>1571</v>
      </c>
      <c r="Q296" s="3">
        <v>33887</v>
      </c>
      <c r="S296" s="3">
        <f>2158+1752</f>
        <v>3910</v>
      </c>
      <c r="T296" s="9"/>
      <c r="U296" s="9">
        <v>0</v>
      </c>
      <c r="V296" s="9"/>
      <c r="W296" s="9">
        <v>0</v>
      </c>
      <c r="X296" s="9"/>
      <c r="Y296" s="9">
        <v>0</v>
      </c>
      <c r="Z296" s="9"/>
      <c r="AA296" s="9">
        <v>0</v>
      </c>
      <c r="AC296" s="3">
        <f t="shared" si="9"/>
        <v>307756</v>
      </c>
    </row>
    <row r="297" spans="1:63" s="3" customFormat="1" ht="12">
      <c r="A297" s="3" t="s">
        <v>239</v>
      </c>
      <c r="C297" s="3" t="s">
        <v>84</v>
      </c>
      <c r="E297" s="3">
        <v>0</v>
      </c>
      <c r="G297" s="3">
        <v>321873.64</v>
      </c>
      <c r="I297" s="3">
        <v>0</v>
      </c>
      <c r="K297" s="3">
        <v>5358.39</v>
      </c>
      <c r="M297" s="3">
        <v>0</v>
      </c>
      <c r="O297" s="3">
        <v>5340</v>
      </c>
      <c r="Q297" s="3">
        <v>3641.2</v>
      </c>
      <c r="S297" s="3">
        <v>1959.37</v>
      </c>
      <c r="U297" s="3">
        <v>0</v>
      </c>
      <c r="W297" s="3">
        <v>0</v>
      </c>
      <c r="Y297" s="3">
        <v>0</v>
      </c>
      <c r="AA297" s="3">
        <v>0</v>
      </c>
      <c r="AC297" s="3">
        <f t="shared" si="9"/>
        <v>338172.60000000003</v>
      </c>
      <c r="AE297" s="39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</row>
    <row r="298" spans="1:63" s="3" customFormat="1" ht="12">
      <c r="A298" s="3" t="s">
        <v>531</v>
      </c>
      <c r="C298" s="3" t="s">
        <v>69</v>
      </c>
      <c r="E298" s="3">
        <v>0</v>
      </c>
      <c r="G298" s="3">
        <v>121675.3</v>
      </c>
      <c r="I298" s="3">
        <v>0</v>
      </c>
      <c r="K298" s="3">
        <v>2492.61</v>
      </c>
      <c r="M298" s="3">
        <v>0</v>
      </c>
      <c r="O298" s="3">
        <v>253.11</v>
      </c>
      <c r="Q298" s="3">
        <v>0</v>
      </c>
      <c r="S298" s="3">
        <v>7424.93</v>
      </c>
      <c r="U298" s="3">
        <v>469.26</v>
      </c>
      <c r="W298" s="3">
        <v>0</v>
      </c>
      <c r="Y298" s="3">
        <v>0</v>
      </c>
      <c r="AA298" s="3">
        <v>0</v>
      </c>
      <c r="AC298" s="3">
        <f t="shared" si="9"/>
        <v>132315.21000000002</v>
      </c>
      <c r="AE298" s="39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</row>
    <row r="299" spans="1:29" s="3" customFormat="1" ht="12">
      <c r="A299" s="9" t="s">
        <v>502</v>
      </c>
      <c r="B299" s="9"/>
      <c r="C299" s="9" t="s">
        <v>44</v>
      </c>
      <c r="D299" s="9"/>
      <c r="E299" s="3">
        <v>0</v>
      </c>
      <c r="G299" s="3">
        <v>3112959</v>
      </c>
      <c r="I299" s="3">
        <v>0</v>
      </c>
      <c r="K299" s="3">
        <v>126131</v>
      </c>
      <c r="M299" s="3">
        <v>12477</v>
      </c>
      <c r="O299" s="3">
        <v>12123</v>
      </c>
      <c r="Q299" s="3">
        <v>66543</v>
      </c>
      <c r="S299" s="3">
        <v>60284</v>
      </c>
      <c r="U299" s="3">
        <v>0</v>
      </c>
      <c r="W299" s="3">
        <v>745000</v>
      </c>
      <c r="Y299" s="9">
        <v>0</v>
      </c>
      <c r="Z299" s="9"/>
      <c r="AA299" s="9">
        <v>0</v>
      </c>
      <c r="AC299" s="3">
        <f t="shared" si="9"/>
        <v>4135517</v>
      </c>
    </row>
    <row r="300" spans="1:63" s="3" customFormat="1" ht="12">
      <c r="A300" s="3" t="s">
        <v>241</v>
      </c>
      <c r="C300" s="3" t="s">
        <v>27</v>
      </c>
      <c r="E300" s="3">
        <v>46813.35</v>
      </c>
      <c r="G300" s="3">
        <v>311764.94</v>
      </c>
      <c r="I300" s="3">
        <v>7282.73</v>
      </c>
      <c r="K300" s="3">
        <v>10228.35</v>
      </c>
      <c r="M300" s="3">
        <v>0</v>
      </c>
      <c r="O300" s="3">
        <v>230</v>
      </c>
      <c r="Q300" s="3">
        <v>2505.46</v>
      </c>
      <c r="S300" s="3">
        <v>5261.61</v>
      </c>
      <c r="U300" s="3">
        <v>655</v>
      </c>
      <c r="W300" s="3">
        <v>26729.16</v>
      </c>
      <c r="Y300" s="3">
        <v>0</v>
      </c>
      <c r="AA300" s="3">
        <v>0</v>
      </c>
      <c r="AC300" s="3">
        <f t="shared" si="9"/>
        <v>411470.5999999999</v>
      </c>
      <c r="AE300" s="39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</row>
    <row r="301" spans="1:29" s="3" customFormat="1" ht="12">
      <c r="A301" s="3" t="s">
        <v>242</v>
      </c>
      <c r="C301" s="3" t="s">
        <v>59</v>
      </c>
      <c r="E301" s="3">
        <v>107490</v>
      </c>
      <c r="G301" s="3">
        <v>659266</v>
      </c>
      <c r="I301" s="3">
        <v>11975</v>
      </c>
      <c r="K301" s="3">
        <v>11274</v>
      </c>
      <c r="M301" s="3">
        <v>0</v>
      </c>
      <c r="O301" s="3">
        <v>8421</v>
      </c>
      <c r="Q301" s="3">
        <v>29001</v>
      </c>
      <c r="S301" s="3">
        <v>4692</v>
      </c>
      <c r="U301" s="3">
        <v>0</v>
      </c>
      <c r="V301" s="9"/>
      <c r="W301" s="9">
        <v>60000</v>
      </c>
      <c r="X301" s="9"/>
      <c r="Y301" s="9">
        <v>0</v>
      </c>
      <c r="Z301" s="9"/>
      <c r="AA301" s="9">
        <v>0</v>
      </c>
      <c r="AC301" s="3">
        <f t="shared" si="9"/>
        <v>892119</v>
      </c>
    </row>
    <row r="302" spans="1:63" s="3" customFormat="1" ht="12">
      <c r="A302" s="3" t="s">
        <v>245</v>
      </c>
      <c r="C302" s="3" t="s">
        <v>45</v>
      </c>
      <c r="E302" s="3">
        <v>0</v>
      </c>
      <c r="G302" s="3">
        <v>151564.62</v>
      </c>
      <c r="I302" s="3">
        <v>0</v>
      </c>
      <c r="K302" s="3">
        <v>5073.22</v>
      </c>
      <c r="M302" s="3">
        <v>9000</v>
      </c>
      <c r="O302" s="3">
        <v>673.33</v>
      </c>
      <c r="Q302" s="3">
        <v>1687.69</v>
      </c>
      <c r="S302" s="3">
        <v>17.5</v>
      </c>
      <c r="U302" s="3">
        <v>1337.54</v>
      </c>
      <c r="W302" s="3">
        <v>0</v>
      </c>
      <c r="Y302" s="3">
        <v>0</v>
      </c>
      <c r="AA302" s="3">
        <v>0</v>
      </c>
      <c r="AC302" s="3">
        <f t="shared" si="9"/>
        <v>169353.9</v>
      </c>
      <c r="AE302" s="39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</row>
    <row r="303" spans="1:63" s="3" customFormat="1" ht="12">
      <c r="A303" s="3" t="s">
        <v>246</v>
      </c>
      <c r="C303" s="3" t="s">
        <v>68</v>
      </c>
      <c r="E303" s="3">
        <v>0</v>
      </c>
      <c r="G303" s="3">
        <v>401086.19</v>
      </c>
      <c r="I303" s="3">
        <v>0</v>
      </c>
      <c r="K303" s="3">
        <v>9859.78</v>
      </c>
      <c r="M303" s="3">
        <v>0</v>
      </c>
      <c r="O303" s="3">
        <v>8515.48</v>
      </c>
      <c r="Q303" s="3">
        <v>49168.85</v>
      </c>
      <c r="S303" s="3">
        <v>2232.25</v>
      </c>
      <c r="U303" s="3">
        <v>567.74</v>
      </c>
      <c r="W303" s="3">
        <v>20500</v>
      </c>
      <c r="Y303" s="3">
        <v>0</v>
      </c>
      <c r="AA303" s="3">
        <v>0</v>
      </c>
      <c r="AC303" s="3">
        <f t="shared" si="9"/>
        <v>491930.29</v>
      </c>
      <c r="AE303" s="39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</row>
    <row r="304" spans="1:29" s="3" customFormat="1" ht="12">
      <c r="A304" s="3" t="s">
        <v>247</v>
      </c>
      <c r="C304" s="3" t="s">
        <v>26</v>
      </c>
      <c r="E304" s="3">
        <v>183098</v>
      </c>
      <c r="G304" s="3">
        <v>0</v>
      </c>
      <c r="I304" s="3">
        <v>1566944</v>
      </c>
      <c r="K304" s="3">
        <v>87340</v>
      </c>
      <c r="M304" s="3">
        <v>0</v>
      </c>
      <c r="O304" s="3">
        <v>88980</v>
      </c>
      <c r="Q304" s="3">
        <v>41502</v>
      </c>
      <c r="S304" s="3">
        <v>2383</v>
      </c>
      <c r="T304" s="9"/>
      <c r="U304" s="9">
        <v>0</v>
      </c>
      <c r="V304" s="9"/>
      <c r="W304" s="9">
        <v>85000</v>
      </c>
      <c r="X304" s="9"/>
      <c r="Y304" s="9">
        <v>0</v>
      </c>
      <c r="Z304" s="9"/>
      <c r="AA304" s="9">
        <v>0</v>
      </c>
      <c r="AC304" s="3">
        <f t="shared" si="9"/>
        <v>2055247</v>
      </c>
    </row>
    <row r="305" spans="1:29" s="3" customFormat="1" ht="12">
      <c r="A305" s="9" t="s">
        <v>503</v>
      </c>
      <c r="B305" s="9"/>
      <c r="C305" s="9" t="s">
        <v>68</v>
      </c>
      <c r="E305" s="3">
        <v>0</v>
      </c>
      <c r="G305" s="3">
        <v>0</v>
      </c>
      <c r="I305" s="3">
        <v>261109</v>
      </c>
      <c r="K305" s="3">
        <v>0</v>
      </c>
      <c r="M305" s="3">
        <v>184446</v>
      </c>
      <c r="O305" s="3">
        <v>0</v>
      </c>
      <c r="Q305" s="3">
        <v>5898</v>
      </c>
      <c r="S305" s="3">
        <v>0</v>
      </c>
      <c r="U305" s="3">
        <v>0</v>
      </c>
      <c r="W305" s="3">
        <v>0</v>
      </c>
      <c r="Y305" s="3">
        <v>0</v>
      </c>
      <c r="AA305" s="3">
        <v>0</v>
      </c>
      <c r="AB305" s="9"/>
      <c r="AC305" s="9">
        <f aca="true" t="shared" si="10" ref="AC305:AC336">SUM(E305:AA305)</f>
        <v>451453</v>
      </c>
    </row>
    <row r="306" spans="1:63" s="3" customFormat="1" ht="12">
      <c r="A306" s="3" t="s">
        <v>248</v>
      </c>
      <c r="C306" s="3" t="s">
        <v>95</v>
      </c>
      <c r="E306" s="3">
        <v>137118.92</v>
      </c>
      <c r="G306" s="3">
        <v>714578.51</v>
      </c>
      <c r="I306" s="3">
        <v>35896.99</v>
      </c>
      <c r="K306" s="3">
        <v>28281.44</v>
      </c>
      <c r="M306" s="3">
        <v>0</v>
      </c>
      <c r="O306" s="3">
        <v>15278.26</v>
      </c>
      <c r="Q306" s="3">
        <v>14049.6</v>
      </c>
      <c r="S306" s="3">
        <v>31941.34</v>
      </c>
      <c r="U306" s="3">
        <v>0</v>
      </c>
      <c r="W306" s="3">
        <v>29304.48</v>
      </c>
      <c r="Y306" s="3">
        <v>0</v>
      </c>
      <c r="AA306" s="3">
        <v>0</v>
      </c>
      <c r="AC306" s="3">
        <f t="shared" si="10"/>
        <v>1006449.5399999999</v>
      </c>
      <c r="AE306" s="39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</row>
    <row r="307" spans="1:29" s="3" customFormat="1" ht="12">
      <c r="A307" s="3" t="s">
        <v>249</v>
      </c>
      <c r="C307" s="3" t="s">
        <v>172</v>
      </c>
      <c r="E307" s="3">
        <v>310322</v>
      </c>
      <c r="G307" s="3">
        <v>0</v>
      </c>
      <c r="I307" s="3">
        <v>0</v>
      </c>
      <c r="K307" s="3">
        <v>11994</v>
      </c>
      <c r="M307" s="3">
        <v>0</v>
      </c>
      <c r="O307" s="3">
        <v>2572</v>
      </c>
      <c r="Q307" s="3">
        <v>30355</v>
      </c>
      <c r="S307" s="3">
        <v>5304</v>
      </c>
      <c r="U307" s="3">
        <v>0</v>
      </c>
      <c r="W307" s="3">
        <v>0</v>
      </c>
      <c r="Y307" s="3">
        <v>0</v>
      </c>
      <c r="Z307" s="9"/>
      <c r="AA307" s="9">
        <v>0</v>
      </c>
      <c r="AC307" s="3">
        <f t="shared" si="10"/>
        <v>360547</v>
      </c>
    </row>
    <row r="308" spans="1:29" s="3" customFormat="1" ht="12">
      <c r="A308" s="3" t="s">
        <v>250</v>
      </c>
      <c r="C308" s="3" t="s">
        <v>186</v>
      </c>
      <c r="E308" s="3">
        <v>0</v>
      </c>
      <c r="G308" s="3">
        <v>263045</v>
      </c>
      <c r="I308" s="3">
        <v>0</v>
      </c>
      <c r="K308" s="3">
        <v>6483</v>
      </c>
      <c r="M308" s="3">
        <v>0</v>
      </c>
      <c r="O308" s="3">
        <v>1256</v>
      </c>
      <c r="Q308" s="3">
        <v>20948</v>
      </c>
      <c r="S308" s="3">
        <v>2437</v>
      </c>
      <c r="T308" s="9"/>
      <c r="U308" s="9">
        <v>0</v>
      </c>
      <c r="V308" s="9"/>
      <c r="W308" s="9">
        <v>0</v>
      </c>
      <c r="X308" s="9"/>
      <c r="Y308" s="9">
        <v>0</v>
      </c>
      <c r="Z308" s="9"/>
      <c r="AA308" s="9">
        <v>0</v>
      </c>
      <c r="AC308" s="3">
        <f t="shared" si="10"/>
        <v>294169</v>
      </c>
    </row>
    <row r="309" spans="1:63" s="3" customFormat="1" ht="12">
      <c r="A309" s="3" t="s">
        <v>532</v>
      </c>
      <c r="C309" s="3" t="s">
        <v>60</v>
      </c>
      <c r="E309" s="3">
        <v>550992.04</v>
      </c>
      <c r="G309" s="3">
        <v>507194.03</v>
      </c>
      <c r="I309" s="3">
        <v>7335.4</v>
      </c>
      <c r="K309" s="3">
        <v>31922.59</v>
      </c>
      <c r="M309" s="3">
        <v>0</v>
      </c>
      <c r="O309" s="3">
        <v>25937.6</v>
      </c>
      <c r="Q309" s="3">
        <v>26058.6</v>
      </c>
      <c r="S309" s="3">
        <v>2704.92</v>
      </c>
      <c r="U309" s="3">
        <v>0</v>
      </c>
      <c r="W309" s="3">
        <v>0</v>
      </c>
      <c r="Y309" s="3">
        <v>0</v>
      </c>
      <c r="AA309" s="3">
        <v>0</v>
      </c>
      <c r="AC309" s="3">
        <f t="shared" si="10"/>
        <v>1152145.1800000002</v>
      </c>
      <c r="AE309" s="39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</row>
    <row r="310" spans="1:29" s="3" customFormat="1" ht="12">
      <c r="A310" s="3" t="s">
        <v>253</v>
      </c>
      <c r="C310" s="3" t="s">
        <v>254</v>
      </c>
      <c r="E310" s="3">
        <v>131938</v>
      </c>
      <c r="G310" s="3">
        <v>669809</v>
      </c>
      <c r="I310" s="3">
        <v>13828</v>
      </c>
      <c r="K310" s="3">
        <v>34516</v>
      </c>
      <c r="M310" s="3">
        <v>0</v>
      </c>
      <c r="O310" s="3">
        <v>12022</v>
      </c>
      <c r="Q310" s="3">
        <f>14707+18307+138</f>
        <v>33152</v>
      </c>
      <c r="S310" s="3">
        <v>1916</v>
      </c>
      <c r="T310" s="9"/>
      <c r="U310" s="9">
        <v>0</v>
      </c>
      <c r="V310" s="9"/>
      <c r="W310" s="9">
        <v>0</v>
      </c>
      <c r="X310" s="9"/>
      <c r="Y310" s="9">
        <f>14278+677</f>
        <v>14955</v>
      </c>
      <c r="Z310" s="9"/>
      <c r="AA310" s="9">
        <v>0</v>
      </c>
      <c r="AC310" s="3">
        <f t="shared" si="10"/>
        <v>912136</v>
      </c>
    </row>
    <row r="311" spans="1:63" s="3" customFormat="1" ht="12">
      <c r="A311" s="3" t="s">
        <v>255</v>
      </c>
      <c r="C311" s="3" t="s">
        <v>44</v>
      </c>
      <c r="E311" s="3">
        <v>0</v>
      </c>
      <c r="G311" s="3">
        <v>615060.44</v>
      </c>
      <c r="I311" s="3">
        <v>0</v>
      </c>
      <c r="K311" s="3">
        <v>20599.25</v>
      </c>
      <c r="M311" s="3">
        <v>0</v>
      </c>
      <c r="O311" s="3">
        <v>2238.95</v>
      </c>
      <c r="Q311" s="3">
        <v>51043.15</v>
      </c>
      <c r="S311" s="3">
        <v>2066.28</v>
      </c>
      <c r="U311" s="3">
        <v>0</v>
      </c>
      <c r="W311" s="3">
        <v>0</v>
      </c>
      <c r="Y311" s="3">
        <v>0</v>
      </c>
      <c r="AA311" s="3">
        <v>0</v>
      </c>
      <c r="AC311" s="3">
        <f t="shared" si="10"/>
        <v>691008.07</v>
      </c>
      <c r="AE311" s="39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</row>
    <row r="312" spans="1:63" s="3" customFormat="1" ht="12">
      <c r="A312" s="3" t="s">
        <v>533</v>
      </c>
      <c r="C312" s="3" t="s">
        <v>63</v>
      </c>
      <c r="E312" s="3">
        <v>18803.55</v>
      </c>
      <c r="G312" s="3">
        <v>233617.23</v>
      </c>
      <c r="I312" s="3">
        <v>0</v>
      </c>
      <c r="K312" s="3">
        <v>4082.36</v>
      </c>
      <c r="M312" s="3">
        <v>0</v>
      </c>
      <c r="O312" s="3">
        <v>1902.21</v>
      </c>
      <c r="Q312" s="3">
        <v>7056.28</v>
      </c>
      <c r="S312" s="3">
        <v>1661.67</v>
      </c>
      <c r="U312" s="3">
        <v>161.8</v>
      </c>
      <c r="W312" s="3">
        <v>0</v>
      </c>
      <c r="Y312" s="3">
        <v>0</v>
      </c>
      <c r="AA312" s="3">
        <v>0</v>
      </c>
      <c r="AC312" s="3">
        <f t="shared" si="10"/>
        <v>267285.1</v>
      </c>
      <c r="AE312" s="39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</row>
    <row r="313" spans="1:29" s="3" customFormat="1" ht="12">
      <c r="A313" s="3" t="s">
        <v>257</v>
      </c>
      <c r="C313" s="3" t="s">
        <v>258</v>
      </c>
      <c r="E313" s="3">
        <v>0</v>
      </c>
      <c r="G313" s="3">
        <v>752525</v>
      </c>
      <c r="I313" s="3">
        <v>0</v>
      </c>
      <c r="K313" s="3">
        <v>25926</v>
      </c>
      <c r="M313" s="3">
        <v>0</v>
      </c>
      <c r="O313" s="3">
        <v>3388</v>
      </c>
      <c r="Q313" s="3">
        <v>38409</v>
      </c>
      <c r="S313" s="3">
        <v>2846</v>
      </c>
      <c r="U313" s="3">
        <v>0</v>
      </c>
      <c r="W313" s="3">
        <v>0</v>
      </c>
      <c r="Y313" s="9">
        <v>0</v>
      </c>
      <c r="Z313" s="9"/>
      <c r="AA313" s="9">
        <v>0</v>
      </c>
      <c r="AC313" s="3">
        <f t="shared" si="10"/>
        <v>823094</v>
      </c>
    </row>
    <row r="314" spans="1:63" s="3" customFormat="1" ht="12">
      <c r="A314" s="3" t="s">
        <v>534</v>
      </c>
      <c r="C314" s="3" t="s">
        <v>68</v>
      </c>
      <c r="E314" s="3">
        <v>178859.49</v>
      </c>
      <c r="G314" s="3">
        <v>393433.5</v>
      </c>
      <c r="I314" s="3">
        <v>0</v>
      </c>
      <c r="K314" s="3">
        <v>8566.38</v>
      </c>
      <c r="M314" s="3">
        <v>0</v>
      </c>
      <c r="O314" s="3">
        <v>2530</v>
      </c>
      <c r="Q314" s="3">
        <v>17218.36</v>
      </c>
      <c r="S314" s="3">
        <v>4505.71</v>
      </c>
      <c r="U314" s="3">
        <v>0</v>
      </c>
      <c r="W314" s="3">
        <v>38675.27</v>
      </c>
      <c r="Y314" s="3">
        <v>0</v>
      </c>
      <c r="AA314" s="3">
        <v>0</v>
      </c>
      <c r="AC314" s="3">
        <f t="shared" si="10"/>
        <v>643788.71</v>
      </c>
      <c r="AE314" s="39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</row>
    <row r="315" spans="1:63" s="3" customFormat="1" ht="12">
      <c r="A315" s="3" t="s">
        <v>261</v>
      </c>
      <c r="C315" s="3" t="s">
        <v>23</v>
      </c>
      <c r="E315" s="3">
        <v>117299.34</v>
      </c>
      <c r="G315" s="3">
        <v>389319.62</v>
      </c>
      <c r="I315" s="3">
        <v>8381.15</v>
      </c>
      <c r="K315" s="3">
        <v>6639.48</v>
      </c>
      <c r="M315" s="3">
        <v>0</v>
      </c>
      <c r="O315" s="3">
        <v>0</v>
      </c>
      <c r="Q315" s="3">
        <v>2224.31</v>
      </c>
      <c r="S315" s="3">
        <v>0</v>
      </c>
      <c r="U315" s="3">
        <v>0</v>
      </c>
      <c r="W315" s="3">
        <v>40000</v>
      </c>
      <c r="Y315" s="3">
        <v>0</v>
      </c>
      <c r="AA315" s="3">
        <v>0</v>
      </c>
      <c r="AC315" s="3">
        <f t="shared" si="10"/>
        <v>563863.8999999999</v>
      </c>
      <c r="AE315" s="39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</row>
    <row r="316" spans="1:63" s="3" customFormat="1" ht="12">
      <c r="A316" s="3" t="s">
        <v>588</v>
      </c>
      <c r="C316" s="3" t="s">
        <v>69</v>
      </c>
      <c r="E316" s="3">
        <v>99244.93</v>
      </c>
      <c r="G316" s="3">
        <v>1095078.08</v>
      </c>
      <c r="I316" s="3">
        <v>60890.69</v>
      </c>
      <c r="K316" s="3">
        <v>32338.92</v>
      </c>
      <c r="M316" s="3">
        <v>0</v>
      </c>
      <c r="O316" s="3">
        <v>4216.03</v>
      </c>
      <c r="Q316" s="3">
        <v>8296.85</v>
      </c>
      <c r="S316" s="3">
        <v>52475.46</v>
      </c>
      <c r="U316" s="3">
        <v>543</v>
      </c>
      <c r="W316" s="3">
        <v>0</v>
      </c>
      <c r="Y316" s="3">
        <v>0</v>
      </c>
      <c r="AA316" s="3">
        <v>0</v>
      </c>
      <c r="AC316" s="3">
        <f t="shared" si="10"/>
        <v>1353083.96</v>
      </c>
      <c r="AE316" s="39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</row>
    <row r="317" spans="1:29" s="3" customFormat="1" ht="12">
      <c r="A317" s="3" t="s">
        <v>263</v>
      </c>
      <c r="C317" s="3" t="s">
        <v>71</v>
      </c>
      <c r="E317" s="3">
        <v>0</v>
      </c>
      <c r="G317" s="3">
        <v>260970</v>
      </c>
      <c r="I317" s="3">
        <v>0</v>
      </c>
      <c r="K317" s="3">
        <v>2217</v>
      </c>
      <c r="M317" s="3">
        <v>0</v>
      </c>
      <c r="O317" s="3">
        <v>0</v>
      </c>
      <c r="Q317" s="3">
        <v>188</v>
      </c>
      <c r="S317" s="3">
        <v>619</v>
      </c>
      <c r="T317" s="9"/>
      <c r="U317" s="9">
        <v>0</v>
      </c>
      <c r="V317" s="9"/>
      <c r="W317" s="9">
        <v>0</v>
      </c>
      <c r="X317" s="9"/>
      <c r="Y317" s="9">
        <v>0</v>
      </c>
      <c r="Z317" s="9"/>
      <c r="AA317" s="9">
        <v>0</v>
      </c>
      <c r="AC317" s="3">
        <f t="shared" si="10"/>
        <v>263994</v>
      </c>
    </row>
    <row r="318" spans="1:63" s="3" customFormat="1" ht="12">
      <c r="A318" s="3" t="s">
        <v>264</v>
      </c>
      <c r="C318" s="3" t="s">
        <v>16</v>
      </c>
      <c r="E318" s="3">
        <v>586947.27</v>
      </c>
      <c r="G318" s="3">
        <v>473844.73</v>
      </c>
      <c r="I318" s="3">
        <v>2606</v>
      </c>
      <c r="K318" s="3">
        <v>24129.46</v>
      </c>
      <c r="M318" s="3">
        <v>77.96</v>
      </c>
      <c r="O318" s="3">
        <v>0</v>
      </c>
      <c r="Q318" s="3">
        <v>52449.16</v>
      </c>
      <c r="S318" s="3">
        <v>12113.6</v>
      </c>
      <c r="U318" s="3">
        <v>0</v>
      </c>
      <c r="W318" s="3">
        <v>20000</v>
      </c>
      <c r="Y318" s="3">
        <v>0</v>
      </c>
      <c r="AA318" s="3">
        <v>0</v>
      </c>
      <c r="AC318" s="3">
        <f t="shared" si="10"/>
        <v>1172168.18</v>
      </c>
      <c r="AE318" s="39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</row>
    <row r="319" spans="1:29" s="3" customFormat="1" ht="12">
      <c r="A319" s="3" t="s">
        <v>265</v>
      </c>
      <c r="C319" s="3" t="s">
        <v>266</v>
      </c>
      <c r="E319" s="3">
        <v>0</v>
      </c>
      <c r="G319" s="3">
        <v>1854662</v>
      </c>
      <c r="I319" s="3">
        <v>0</v>
      </c>
      <c r="K319" s="3">
        <v>61793</v>
      </c>
      <c r="M319" s="3">
        <v>0</v>
      </c>
      <c r="O319" s="3">
        <v>807052</v>
      </c>
      <c r="Q319" s="3">
        <v>742170</v>
      </c>
      <c r="S319" s="3">
        <v>5844</v>
      </c>
      <c r="T319" s="9"/>
      <c r="U319" s="9">
        <v>0</v>
      </c>
      <c r="V319" s="9"/>
      <c r="W319" s="9">
        <v>0</v>
      </c>
      <c r="X319" s="9"/>
      <c r="Y319" s="9">
        <v>0</v>
      </c>
      <c r="Z319" s="9"/>
      <c r="AA319" s="9">
        <v>0</v>
      </c>
      <c r="AC319" s="3">
        <f t="shared" si="10"/>
        <v>3471521</v>
      </c>
    </row>
    <row r="320" spans="1:63" s="3" customFormat="1" ht="12">
      <c r="A320" s="3" t="s">
        <v>360</v>
      </c>
      <c r="C320" s="3" t="s">
        <v>70</v>
      </c>
      <c r="E320" s="3">
        <v>0</v>
      </c>
      <c r="G320" s="3">
        <v>1064351.87</v>
      </c>
      <c r="I320" s="3">
        <v>0</v>
      </c>
      <c r="K320" s="3">
        <v>47104.12</v>
      </c>
      <c r="M320" s="3">
        <v>0</v>
      </c>
      <c r="O320" s="3">
        <v>5278.57</v>
      </c>
      <c r="Q320" s="3">
        <v>11500.97</v>
      </c>
      <c r="S320" s="3">
        <v>6887.6</v>
      </c>
      <c r="U320" s="3">
        <v>371.1</v>
      </c>
      <c r="W320" s="3">
        <v>0</v>
      </c>
      <c r="Y320" s="3">
        <v>0</v>
      </c>
      <c r="AA320" s="3">
        <v>0</v>
      </c>
      <c r="AC320" s="3">
        <f t="shared" si="10"/>
        <v>1135494.2300000004</v>
      </c>
      <c r="AE320" s="39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</row>
    <row r="321" spans="1:63" s="3" customFormat="1" ht="12">
      <c r="A321" s="3" t="s">
        <v>268</v>
      </c>
      <c r="C321" s="3" t="s">
        <v>13</v>
      </c>
      <c r="E321" s="3">
        <v>0</v>
      </c>
      <c r="G321" s="3">
        <v>433360.11</v>
      </c>
      <c r="I321" s="3">
        <v>0</v>
      </c>
      <c r="K321" s="3">
        <v>21991.04</v>
      </c>
      <c r="M321" s="3">
        <v>0</v>
      </c>
      <c r="O321" s="3">
        <v>6417</v>
      </c>
      <c r="Q321" s="3">
        <v>5428.44</v>
      </c>
      <c r="S321" s="3">
        <v>7842.26</v>
      </c>
      <c r="U321" s="3">
        <v>0</v>
      </c>
      <c r="W321" s="3">
        <v>0</v>
      </c>
      <c r="Y321" s="3">
        <v>0</v>
      </c>
      <c r="AA321" s="3">
        <v>0</v>
      </c>
      <c r="AC321" s="3">
        <f t="shared" si="10"/>
        <v>475038.85</v>
      </c>
      <c r="AE321" s="39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</row>
    <row r="322" spans="1:29" s="3" customFormat="1" ht="12">
      <c r="A322" s="3" t="s">
        <v>269</v>
      </c>
      <c r="C322" s="3" t="s">
        <v>190</v>
      </c>
      <c r="E322" s="3">
        <v>0</v>
      </c>
      <c r="G322" s="3">
        <v>2560704</v>
      </c>
      <c r="I322" s="3">
        <v>3250</v>
      </c>
      <c r="K322" s="3">
        <v>45148</v>
      </c>
      <c r="M322" s="3">
        <v>38322</v>
      </c>
      <c r="O322" s="3">
        <v>18467</v>
      </c>
      <c r="Q322" s="3">
        <v>65717</v>
      </c>
      <c r="S322" s="3">
        <v>48182</v>
      </c>
      <c r="T322" s="9"/>
      <c r="U322" s="9">
        <v>0</v>
      </c>
      <c r="V322" s="9"/>
      <c r="W322" s="9">
        <v>61968</v>
      </c>
      <c r="X322" s="9"/>
      <c r="Y322" s="9">
        <v>0</v>
      </c>
      <c r="Z322" s="9"/>
      <c r="AA322" s="9">
        <v>0</v>
      </c>
      <c r="AC322" s="3">
        <f t="shared" si="10"/>
        <v>2841758</v>
      </c>
    </row>
    <row r="323" spans="1:29" s="3" customFormat="1" ht="12">
      <c r="A323" s="3" t="s">
        <v>505</v>
      </c>
      <c r="C323" s="3" t="s">
        <v>20</v>
      </c>
      <c r="E323" s="3">
        <v>3129401</v>
      </c>
      <c r="G323" s="3">
        <v>1398093</v>
      </c>
      <c r="I323" s="3">
        <v>0</v>
      </c>
      <c r="K323" s="3">
        <v>91436</v>
      </c>
      <c r="M323" s="3">
        <v>0</v>
      </c>
      <c r="O323" s="3">
        <v>67736</v>
      </c>
      <c r="Q323" s="3">
        <v>182666</v>
      </c>
      <c r="S323" s="3">
        <v>26046</v>
      </c>
      <c r="U323" s="3">
        <v>0</v>
      </c>
      <c r="W323" s="3">
        <v>165000</v>
      </c>
      <c r="Y323" s="3">
        <v>0</v>
      </c>
      <c r="AA323" s="3">
        <v>0</v>
      </c>
      <c r="AB323" s="9"/>
      <c r="AC323" s="9">
        <f t="shared" si="10"/>
        <v>5060378</v>
      </c>
    </row>
    <row r="324" spans="1:29" s="3" customFormat="1" ht="12">
      <c r="A324" s="3" t="s">
        <v>24</v>
      </c>
      <c r="C324" s="3" t="s">
        <v>25</v>
      </c>
      <c r="E324" s="3">
        <v>0</v>
      </c>
      <c r="G324" s="3">
        <v>3000202</v>
      </c>
      <c r="I324" s="3">
        <v>0</v>
      </c>
      <c r="K324" s="3">
        <v>86349</v>
      </c>
      <c r="M324" s="3">
        <v>0</v>
      </c>
      <c r="O324" s="3">
        <v>12531</v>
      </c>
      <c r="Q324" s="3">
        <v>80699</v>
      </c>
      <c r="S324" s="3">
        <v>6119</v>
      </c>
      <c r="U324" s="3">
        <v>0</v>
      </c>
      <c r="W324" s="3">
        <v>0</v>
      </c>
      <c r="Y324" s="3">
        <v>0</v>
      </c>
      <c r="Z324" s="9"/>
      <c r="AA324" s="9">
        <v>0</v>
      </c>
      <c r="AC324" s="9">
        <f t="shared" si="10"/>
        <v>3185900</v>
      </c>
    </row>
    <row r="325" spans="1:29" s="3" customFormat="1" ht="12">
      <c r="A325" s="3" t="s">
        <v>270</v>
      </c>
      <c r="C325" s="3" t="s">
        <v>109</v>
      </c>
      <c r="E325" s="3">
        <v>0</v>
      </c>
      <c r="G325" s="3">
        <v>0</v>
      </c>
      <c r="I325" s="3">
        <v>1352216</v>
      </c>
      <c r="K325" s="3">
        <v>9692</v>
      </c>
      <c r="M325" s="3">
        <v>2624</v>
      </c>
      <c r="O325" s="3">
        <v>1041</v>
      </c>
      <c r="Q325" s="3">
        <f>156+23514</f>
        <v>23670</v>
      </c>
      <c r="S325" s="3">
        <v>26467</v>
      </c>
      <c r="U325" s="3">
        <v>0</v>
      </c>
      <c r="W325" s="3">
        <v>0</v>
      </c>
      <c r="Y325" s="3">
        <v>0</v>
      </c>
      <c r="Z325" s="9"/>
      <c r="AA325" s="9">
        <v>0</v>
      </c>
      <c r="AC325" s="3">
        <f t="shared" si="10"/>
        <v>1415710</v>
      </c>
    </row>
    <row r="326" spans="1:32" s="3" customFormat="1" ht="12">
      <c r="A326" s="9" t="s">
        <v>506</v>
      </c>
      <c r="B326" s="9"/>
      <c r="C326" s="9" t="s">
        <v>507</v>
      </c>
      <c r="E326" s="3">
        <v>0</v>
      </c>
      <c r="G326" s="3">
        <v>0</v>
      </c>
      <c r="I326" s="3">
        <v>49417777</v>
      </c>
      <c r="K326" s="3">
        <v>1949231</v>
      </c>
      <c r="M326" s="3">
        <v>0</v>
      </c>
      <c r="O326" s="3">
        <v>1438084</v>
      </c>
      <c r="Q326" s="3">
        <v>1596953</v>
      </c>
      <c r="S326" s="3">
        <f>80412+906360</f>
        <v>986772</v>
      </c>
      <c r="U326" s="3">
        <v>115000</v>
      </c>
      <c r="W326" s="3">
        <v>3300000</v>
      </c>
      <c r="Y326" s="3">
        <v>150000</v>
      </c>
      <c r="AA326" s="3">
        <v>0</v>
      </c>
      <c r="AB326" s="9"/>
      <c r="AC326" s="9">
        <f t="shared" si="10"/>
        <v>58953817</v>
      </c>
      <c r="AD326" s="9"/>
      <c r="AE326" s="9"/>
      <c r="AF326" s="9"/>
    </row>
    <row r="327" spans="1:63" s="3" customFormat="1" ht="12">
      <c r="A327" s="3" t="s">
        <v>271</v>
      </c>
      <c r="C327" s="3" t="s">
        <v>49</v>
      </c>
      <c r="E327" s="3">
        <v>0</v>
      </c>
      <c r="G327" s="3">
        <v>561622.35</v>
      </c>
      <c r="I327" s="3">
        <v>2350</v>
      </c>
      <c r="K327" s="3">
        <v>22269.65</v>
      </c>
      <c r="M327" s="3">
        <v>0</v>
      </c>
      <c r="O327" s="3">
        <v>7318.23</v>
      </c>
      <c r="Q327" s="3">
        <v>7615.34</v>
      </c>
      <c r="S327" s="3">
        <v>20436.74</v>
      </c>
      <c r="U327" s="3">
        <v>0</v>
      </c>
      <c r="W327" s="3">
        <v>50160</v>
      </c>
      <c r="Y327" s="3">
        <v>0</v>
      </c>
      <c r="AA327" s="3">
        <v>0</v>
      </c>
      <c r="AC327" s="3">
        <f t="shared" si="10"/>
        <v>671772.3099999999</v>
      </c>
      <c r="AE327" s="39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</row>
    <row r="328" spans="1:63" s="3" customFormat="1" ht="12">
      <c r="A328" s="3" t="s">
        <v>272</v>
      </c>
      <c r="C328" s="3" t="s">
        <v>190</v>
      </c>
      <c r="E328" s="3">
        <v>517343.08</v>
      </c>
      <c r="G328" s="3">
        <v>1079259.77</v>
      </c>
      <c r="I328" s="3">
        <v>41924.06</v>
      </c>
      <c r="K328" s="3">
        <v>23766.59</v>
      </c>
      <c r="M328" s="3">
        <v>0.5</v>
      </c>
      <c r="O328" s="3">
        <v>70522.18</v>
      </c>
      <c r="Q328" s="3">
        <v>105852.3</v>
      </c>
      <c r="S328" s="3">
        <v>7856.65</v>
      </c>
      <c r="U328" s="3">
        <v>0</v>
      </c>
      <c r="W328" s="3">
        <v>0</v>
      </c>
      <c r="Y328" s="3">
        <v>0</v>
      </c>
      <c r="AA328" s="3">
        <v>1945.7</v>
      </c>
      <c r="AC328" s="3">
        <f t="shared" si="10"/>
        <v>1848470.83</v>
      </c>
      <c r="AE328" s="39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</row>
    <row r="329" spans="1:29" s="3" customFormat="1" ht="12">
      <c r="A329" s="3" t="s">
        <v>273</v>
      </c>
      <c r="C329" s="3" t="s">
        <v>244</v>
      </c>
      <c r="E329" s="3">
        <v>3407952</v>
      </c>
      <c r="G329" s="3">
        <v>9948048</v>
      </c>
      <c r="I329" s="3">
        <v>526216</v>
      </c>
      <c r="K329" s="3">
        <v>261176</v>
      </c>
      <c r="M329" s="3">
        <v>59912</v>
      </c>
      <c r="O329" s="3">
        <v>8336</v>
      </c>
      <c r="Q329" s="3">
        <v>754043</v>
      </c>
      <c r="S329" s="3">
        <v>138932</v>
      </c>
      <c r="U329" s="3">
        <v>0</v>
      </c>
      <c r="W329" s="3">
        <v>2485328</v>
      </c>
      <c r="X329" s="9"/>
      <c r="Y329" s="9">
        <v>0</v>
      </c>
      <c r="Z329" s="9"/>
      <c r="AA329" s="9">
        <v>0</v>
      </c>
      <c r="AC329" s="3">
        <f t="shared" si="10"/>
        <v>17589943</v>
      </c>
    </row>
    <row r="330" spans="1:29" s="3" customFormat="1" ht="12">
      <c r="A330" s="3" t="s">
        <v>274</v>
      </c>
      <c r="C330" s="3" t="s">
        <v>215</v>
      </c>
      <c r="E330" s="3">
        <v>0</v>
      </c>
      <c r="G330" s="3">
        <v>389812</v>
      </c>
      <c r="I330" s="3">
        <v>0</v>
      </c>
      <c r="K330" s="3">
        <v>6756</v>
      </c>
      <c r="M330" s="3">
        <v>0</v>
      </c>
      <c r="O330" s="3">
        <v>138</v>
      </c>
      <c r="Q330" s="3">
        <v>7361</v>
      </c>
      <c r="S330" s="3">
        <v>12117</v>
      </c>
      <c r="T330" s="9"/>
      <c r="U330" s="9">
        <v>0</v>
      </c>
      <c r="V330" s="9"/>
      <c r="W330" s="9">
        <v>0</v>
      </c>
      <c r="X330" s="9"/>
      <c r="Y330" s="9">
        <v>0</v>
      </c>
      <c r="Z330" s="9"/>
      <c r="AA330" s="9">
        <v>0</v>
      </c>
      <c r="AC330" s="3">
        <f t="shared" si="10"/>
        <v>416184</v>
      </c>
    </row>
    <row r="331" spans="1:63" s="3" customFormat="1" ht="12">
      <c r="A331" s="3" t="s">
        <v>362</v>
      </c>
      <c r="C331" s="3" t="s">
        <v>64</v>
      </c>
      <c r="E331" s="3">
        <v>17304.18</v>
      </c>
      <c r="G331" s="3">
        <v>109547.05</v>
      </c>
      <c r="I331" s="3">
        <v>0</v>
      </c>
      <c r="K331" s="3">
        <v>1654.68</v>
      </c>
      <c r="M331" s="3">
        <v>0</v>
      </c>
      <c r="O331" s="3">
        <v>922.8</v>
      </c>
      <c r="Q331" s="3">
        <v>1237.58</v>
      </c>
      <c r="S331" s="3">
        <v>1359.2</v>
      </c>
      <c r="U331" s="3">
        <v>0</v>
      </c>
      <c r="W331" s="3">
        <v>0</v>
      </c>
      <c r="Y331" s="3">
        <v>0</v>
      </c>
      <c r="AA331" s="3">
        <v>0</v>
      </c>
      <c r="AC331" s="3">
        <f t="shared" si="10"/>
        <v>132025.49000000002</v>
      </c>
      <c r="AE331" s="39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</row>
    <row r="332" spans="1:63" s="3" customFormat="1" ht="12">
      <c r="A332" s="3" t="s">
        <v>535</v>
      </c>
      <c r="C332" s="3" t="s">
        <v>182</v>
      </c>
      <c r="E332" s="3">
        <v>323434.16</v>
      </c>
      <c r="G332" s="3">
        <v>607460.01</v>
      </c>
      <c r="I332" s="3">
        <v>0</v>
      </c>
      <c r="K332" s="3">
        <v>36411.89</v>
      </c>
      <c r="M332" s="3">
        <v>0</v>
      </c>
      <c r="O332" s="3">
        <v>30345.14</v>
      </c>
      <c r="Q332" s="3">
        <v>151247.81</v>
      </c>
      <c r="S332" s="3">
        <v>21806.91</v>
      </c>
      <c r="U332" s="3">
        <v>669.5</v>
      </c>
      <c r="W332" s="3">
        <v>22000</v>
      </c>
      <c r="Y332" s="3">
        <v>0</v>
      </c>
      <c r="AA332" s="3">
        <v>0</v>
      </c>
      <c r="AC332" s="3">
        <f t="shared" si="10"/>
        <v>1193375.42</v>
      </c>
      <c r="AE332" s="39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</row>
    <row r="333" spans="1:63" s="3" customFormat="1" ht="12">
      <c r="A333" s="3" t="s">
        <v>277</v>
      </c>
      <c r="C333" s="3" t="s">
        <v>46</v>
      </c>
      <c r="E333" s="3">
        <v>0</v>
      </c>
      <c r="G333" s="3">
        <v>180518.96</v>
      </c>
      <c r="I333" s="3">
        <v>325</v>
      </c>
      <c r="K333" s="3">
        <v>8390.19</v>
      </c>
      <c r="M333" s="3">
        <v>0</v>
      </c>
      <c r="O333" s="3">
        <v>695.5</v>
      </c>
      <c r="Q333" s="3">
        <v>7256.46</v>
      </c>
      <c r="S333" s="3">
        <v>105.76</v>
      </c>
      <c r="U333" s="3">
        <v>0</v>
      </c>
      <c r="W333" s="3">
        <v>0</v>
      </c>
      <c r="Y333" s="3">
        <v>0</v>
      </c>
      <c r="AA333" s="3">
        <v>0</v>
      </c>
      <c r="AC333" s="3">
        <f t="shared" si="10"/>
        <v>197291.87</v>
      </c>
      <c r="AE333" s="39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</row>
    <row r="334" spans="1:63" s="3" customFormat="1" ht="12">
      <c r="A334" s="3" t="s">
        <v>278</v>
      </c>
      <c r="C334" s="3" t="s">
        <v>53</v>
      </c>
      <c r="E334" s="3">
        <v>0</v>
      </c>
      <c r="G334" s="3">
        <v>192552.82</v>
      </c>
      <c r="I334" s="3">
        <v>0</v>
      </c>
      <c r="K334" s="3">
        <v>2077.03</v>
      </c>
      <c r="M334" s="3">
        <v>0</v>
      </c>
      <c r="O334" s="3">
        <v>85</v>
      </c>
      <c r="Q334" s="3">
        <v>548.45</v>
      </c>
      <c r="S334" s="3">
        <v>1820.19</v>
      </c>
      <c r="U334" s="3">
        <v>0</v>
      </c>
      <c r="W334" s="3">
        <v>0</v>
      </c>
      <c r="Y334" s="3">
        <v>0</v>
      </c>
      <c r="AA334" s="3">
        <v>0</v>
      </c>
      <c r="AC334" s="3">
        <f t="shared" si="10"/>
        <v>197083.49000000002</v>
      </c>
      <c r="AE334" s="39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</row>
    <row r="335" spans="1:29" s="3" customFormat="1" ht="12">
      <c r="A335" s="3" t="s">
        <v>279</v>
      </c>
      <c r="C335" s="3" t="s">
        <v>20</v>
      </c>
      <c r="E335" s="3">
        <v>3207470</v>
      </c>
      <c r="G335" s="3">
        <v>815919</v>
      </c>
      <c r="I335" s="3">
        <v>398851</v>
      </c>
      <c r="K335" s="3">
        <v>52280</v>
      </c>
      <c r="M335" s="3">
        <v>0</v>
      </c>
      <c r="O335" s="3">
        <v>53118</v>
      </c>
      <c r="Q335" s="3">
        <v>296406</v>
      </c>
      <c r="S335" s="3">
        <v>10080</v>
      </c>
      <c r="U335" s="3">
        <v>0</v>
      </c>
      <c r="V335" s="9"/>
      <c r="W335" s="9">
        <v>325000</v>
      </c>
      <c r="X335" s="9"/>
      <c r="Y335" s="9">
        <v>0</v>
      </c>
      <c r="Z335" s="9"/>
      <c r="AA335" s="9">
        <v>0</v>
      </c>
      <c r="AC335" s="3">
        <f t="shared" si="10"/>
        <v>5159124</v>
      </c>
    </row>
    <row r="336" spans="1:29" s="3" customFormat="1" ht="12">
      <c r="A336" s="3" t="s">
        <v>280</v>
      </c>
      <c r="C336" s="3" t="s">
        <v>26</v>
      </c>
      <c r="E336" s="3">
        <v>1777431</v>
      </c>
      <c r="G336" s="3">
        <v>0</v>
      </c>
      <c r="I336" s="3">
        <v>0</v>
      </c>
      <c r="K336" s="3">
        <v>28019</v>
      </c>
      <c r="M336" s="3">
        <v>0</v>
      </c>
      <c r="O336" s="3">
        <v>42102</v>
      </c>
      <c r="Q336" s="3">
        <v>51602</v>
      </c>
      <c r="S336" s="3">
        <f>12572+15178+1</f>
        <v>27751</v>
      </c>
      <c r="T336" s="9"/>
      <c r="U336" s="9">
        <v>0</v>
      </c>
      <c r="V336" s="9"/>
      <c r="W336" s="9">
        <v>0</v>
      </c>
      <c r="X336" s="9"/>
      <c r="Y336" s="9">
        <v>0</v>
      </c>
      <c r="Z336" s="9"/>
      <c r="AA336" s="9">
        <v>0</v>
      </c>
      <c r="AC336" s="3">
        <f t="shared" si="10"/>
        <v>1926905</v>
      </c>
    </row>
    <row r="337" spans="1:29" s="3" customFormat="1" ht="12">
      <c r="A337" s="3" t="s">
        <v>281</v>
      </c>
      <c r="C337" s="3" t="s">
        <v>68</v>
      </c>
      <c r="E337" s="3">
        <v>401486</v>
      </c>
      <c r="G337" s="3">
        <v>630023</v>
      </c>
      <c r="I337" s="3">
        <v>22145</v>
      </c>
      <c r="K337" s="3">
        <v>19479</v>
      </c>
      <c r="M337" s="3">
        <v>0</v>
      </c>
      <c r="O337" s="3">
        <v>0</v>
      </c>
      <c r="Q337" s="3">
        <v>22506</v>
      </c>
      <c r="S337" s="3">
        <v>7369</v>
      </c>
      <c r="U337" s="3">
        <v>0</v>
      </c>
      <c r="W337" s="9">
        <v>0</v>
      </c>
      <c r="X337" s="9"/>
      <c r="Y337" s="9">
        <v>0</v>
      </c>
      <c r="Z337" s="9"/>
      <c r="AA337" s="9">
        <v>0</v>
      </c>
      <c r="AC337" s="3">
        <f aca="true" t="shared" si="11" ref="AC337:AC342">SUM(E337:AA337)</f>
        <v>1103008</v>
      </c>
    </row>
    <row r="338" spans="1:63" s="3" customFormat="1" ht="12">
      <c r="A338" s="3" t="s">
        <v>282</v>
      </c>
      <c r="C338" s="3" t="s">
        <v>72</v>
      </c>
      <c r="E338" s="3">
        <v>0</v>
      </c>
      <c r="G338" s="3">
        <v>0</v>
      </c>
      <c r="I338" s="3">
        <v>249261.84</v>
      </c>
      <c r="K338" s="3">
        <v>2400.24</v>
      </c>
      <c r="M338" s="3">
        <v>0</v>
      </c>
      <c r="O338" s="3">
        <v>698</v>
      </c>
      <c r="Q338" s="3">
        <v>15027.22</v>
      </c>
      <c r="S338" s="3">
        <v>2762.87</v>
      </c>
      <c r="U338" s="3">
        <v>993.57</v>
      </c>
      <c r="W338" s="3">
        <v>0</v>
      </c>
      <c r="Y338" s="3">
        <v>0</v>
      </c>
      <c r="AA338" s="3">
        <v>0</v>
      </c>
      <c r="AC338" s="3">
        <f t="shared" si="11"/>
        <v>271143.74</v>
      </c>
      <c r="AE338" s="39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</row>
    <row r="339" spans="1:63" s="3" customFormat="1" ht="12">
      <c r="A339" s="3" t="s">
        <v>398</v>
      </c>
      <c r="C339" s="3" t="s">
        <v>65</v>
      </c>
      <c r="E339" s="3">
        <v>0</v>
      </c>
      <c r="G339" s="3">
        <v>311660.34</v>
      </c>
      <c r="I339" s="3">
        <v>1862</v>
      </c>
      <c r="K339" s="3">
        <v>13478.56</v>
      </c>
      <c r="M339" s="3">
        <v>0</v>
      </c>
      <c r="O339" s="3">
        <v>6633.27</v>
      </c>
      <c r="Q339" s="3">
        <v>17853.89</v>
      </c>
      <c r="S339" s="3">
        <v>3158.43</v>
      </c>
      <c r="U339" s="3">
        <v>0</v>
      </c>
      <c r="W339" s="3">
        <v>0</v>
      </c>
      <c r="Y339" s="3">
        <v>0</v>
      </c>
      <c r="AA339" s="3">
        <v>0</v>
      </c>
      <c r="AC339" s="3">
        <f t="shared" si="11"/>
        <v>354646.49000000005</v>
      </c>
      <c r="AE339" s="39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</row>
    <row r="340" spans="1:29" s="3" customFormat="1" ht="12">
      <c r="A340" s="3" t="s">
        <v>284</v>
      </c>
      <c r="C340" s="3" t="s">
        <v>54</v>
      </c>
      <c r="E340" s="3">
        <v>0</v>
      </c>
      <c r="G340" s="3">
        <v>898212</v>
      </c>
      <c r="I340" s="3">
        <v>0</v>
      </c>
      <c r="K340" s="3">
        <v>28475</v>
      </c>
      <c r="M340" s="3">
        <v>0</v>
      </c>
      <c r="O340" s="3">
        <v>20117</v>
      </c>
      <c r="Q340" s="3">
        <v>34135</v>
      </c>
      <c r="S340" s="3">
        <v>349</v>
      </c>
      <c r="T340" s="9"/>
      <c r="U340" s="9">
        <v>0</v>
      </c>
      <c r="V340" s="9"/>
      <c r="W340" s="9">
        <v>0</v>
      </c>
      <c r="X340" s="9"/>
      <c r="Y340" s="9">
        <v>0</v>
      </c>
      <c r="Z340" s="9"/>
      <c r="AA340" s="9">
        <v>0</v>
      </c>
      <c r="AC340" s="3">
        <f t="shared" si="11"/>
        <v>981288</v>
      </c>
    </row>
    <row r="341" spans="1:29" s="3" customFormat="1" ht="12">
      <c r="A341" s="3" t="s">
        <v>285</v>
      </c>
      <c r="C341" s="3" t="s">
        <v>57</v>
      </c>
      <c r="E341" s="3">
        <v>0</v>
      </c>
      <c r="G341" s="3">
        <v>705071</v>
      </c>
      <c r="I341" s="3">
        <v>0</v>
      </c>
      <c r="K341" s="3">
        <v>9613</v>
      </c>
      <c r="M341" s="3">
        <v>0</v>
      </c>
      <c r="O341" s="3">
        <v>3722</v>
      </c>
      <c r="Q341" s="3">
        <f>1379+1963</f>
        <v>3342</v>
      </c>
      <c r="S341" s="3">
        <v>162</v>
      </c>
      <c r="T341" s="9"/>
      <c r="U341" s="9">
        <v>0</v>
      </c>
      <c r="V341" s="9"/>
      <c r="W341" s="9">
        <v>0</v>
      </c>
      <c r="X341" s="9"/>
      <c r="Y341" s="9">
        <v>0</v>
      </c>
      <c r="Z341" s="9"/>
      <c r="AA341" s="9">
        <v>0</v>
      </c>
      <c r="AC341" s="3">
        <f t="shared" si="11"/>
        <v>721910</v>
      </c>
    </row>
    <row r="342" spans="1:29" s="3" customFormat="1" ht="12">
      <c r="A342" s="3" t="s">
        <v>363</v>
      </c>
      <c r="C342" s="3" t="s">
        <v>182</v>
      </c>
      <c r="E342" s="3">
        <v>708197</v>
      </c>
      <c r="G342" s="3">
        <v>1840682</v>
      </c>
      <c r="I342" s="3">
        <v>0</v>
      </c>
      <c r="K342" s="3">
        <v>89256</v>
      </c>
      <c r="M342" s="3">
        <v>1057</v>
      </c>
      <c r="O342" s="3">
        <v>313841</v>
      </c>
      <c r="Q342" s="3">
        <v>169971</v>
      </c>
      <c r="S342" s="3">
        <v>27173</v>
      </c>
      <c r="U342" s="9">
        <v>0</v>
      </c>
      <c r="V342" s="9"/>
      <c r="W342" s="9">
        <v>27624</v>
      </c>
      <c r="X342" s="9"/>
      <c r="Y342" s="9">
        <v>0</v>
      </c>
      <c r="Z342" s="9"/>
      <c r="AA342" s="9">
        <v>0</v>
      </c>
      <c r="AC342" s="3">
        <f t="shared" si="11"/>
        <v>3177801</v>
      </c>
    </row>
    <row r="343" spans="21:29" s="3" customFormat="1" ht="12">
      <c r="U343" s="9"/>
      <c r="V343" s="9"/>
      <c r="W343" s="9"/>
      <c r="X343" s="9"/>
      <c r="Y343" s="9"/>
      <c r="Z343" s="9"/>
      <c r="AA343" s="9"/>
      <c r="AC343" s="45" t="s">
        <v>8</v>
      </c>
    </row>
    <row r="344" spans="1:63" s="4" customFormat="1" ht="12">
      <c r="A344" s="4" t="s">
        <v>286</v>
      </c>
      <c r="C344" s="4" t="s">
        <v>71</v>
      </c>
      <c r="E344" s="4">
        <v>0</v>
      </c>
      <c r="G344" s="4">
        <v>271843.32</v>
      </c>
      <c r="I344" s="4">
        <v>0</v>
      </c>
      <c r="K344" s="4">
        <v>13335.02</v>
      </c>
      <c r="M344" s="4">
        <v>0</v>
      </c>
      <c r="O344" s="4">
        <v>600</v>
      </c>
      <c r="Q344" s="4">
        <v>12038.18</v>
      </c>
      <c r="S344" s="4">
        <v>0</v>
      </c>
      <c r="U344" s="4">
        <v>0</v>
      </c>
      <c r="W344" s="4">
        <v>0</v>
      </c>
      <c r="Y344" s="4">
        <v>0</v>
      </c>
      <c r="AA344" s="4">
        <v>0</v>
      </c>
      <c r="AC344" s="4">
        <f aca="true" t="shared" si="12" ref="AC344:AC384">SUM(E344:AA344)</f>
        <v>297816.52</v>
      </c>
      <c r="AE344" s="37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</row>
    <row r="345" spans="1:63" s="3" customFormat="1" ht="12">
      <c r="A345" s="3" t="s">
        <v>287</v>
      </c>
      <c r="C345" s="3" t="s">
        <v>48</v>
      </c>
      <c r="E345" s="3">
        <v>0</v>
      </c>
      <c r="G345" s="3">
        <v>171072.75</v>
      </c>
      <c r="I345" s="3">
        <v>0</v>
      </c>
      <c r="K345" s="3">
        <v>1993.93</v>
      </c>
      <c r="M345" s="3">
        <v>0</v>
      </c>
      <c r="O345" s="3">
        <v>16226.23</v>
      </c>
      <c r="Q345" s="3">
        <v>1675.48</v>
      </c>
      <c r="S345" s="3">
        <v>7444.01</v>
      </c>
      <c r="U345" s="3">
        <v>0</v>
      </c>
      <c r="W345" s="3">
        <v>9575.52</v>
      </c>
      <c r="Y345" s="3">
        <v>0</v>
      </c>
      <c r="AA345" s="3">
        <v>0</v>
      </c>
      <c r="AC345" s="3">
        <f t="shared" si="12"/>
        <v>207987.92</v>
      </c>
      <c r="AE345" s="39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</row>
    <row r="346" spans="1:29" s="3" customFormat="1" ht="12">
      <c r="A346" s="3" t="s">
        <v>288</v>
      </c>
      <c r="C346" s="3" t="s">
        <v>20</v>
      </c>
      <c r="E346" s="3">
        <v>3071771</v>
      </c>
      <c r="G346" s="3">
        <v>1849598</v>
      </c>
      <c r="I346" s="3">
        <v>0</v>
      </c>
      <c r="K346" s="3">
        <v>135628</v>
      </c>
      <c r="M346" s="3">
        <v>0</v>
      </c>
      <c r="O346" s="3">
        <v>1745</v>
      </c>
      <c r="Q346" s="3">
        <v>71574</v>
      </c>
      <c r="S346" s="3">
        <v>117123</v>
      </c>
      <c r="U346" s="3">
        <v>0</v>
      </c>
      <c r="W346" s="3">
        <v>210000</v>
      </c>
      <c r="Y346" s="3">
        <v>0</v>
      </c>
      <c r="AA346" s="3">
        <v>0</v>
      </c>
      <c r="AB346" s="9"/>
      <c r="AC346" s="9">
        <f t="shared" si="12"/>
        <v>5457439</v>
      </c>
    </row>
    <row r="347" spans="1:29" s="3" customFormat="1" ht="12">
      <c r="A347" s="9" t="s">
        <v>508</v>
      </c>
      <c r="B347" s="9"/>
      <c r="C347" s="9" t="s">
        <v>186</v>
      </c>
      <c r="E347" s="3">
        <v>0</v>
      </c>
      <c r="G347" s="3">
        <v>0</v>
      </c>
      <c r="I347" s="3">
        <v>390693</v>
      </c>
      <c r="K347" s="3">
        <v>7152</v>
      </c>
      <c r="M347" s="3">
        <v>0</v>
      </c>
      <c r="O347" s="3">
        <v>7316</v>
      </c>
      <c r="Q347" s="3">
        <v>5420</v>
      </c>
      <c r="S347" s="3">
        <v>971</v>
      </c>
      <c r="U347" s="3">
        <v>0</v>
      </c>
      <c r="W347" s="3">
        <v>0</v>
      </c>
      <c r="Y347" s="3">
        <v>0</v>
      </c>
      <c r="AA347" s="3">
        <v>0</v>
      </c>
      <c r="AB347" s="9"/>
      <c r="AC347" s="9">
        <f t="shared" si="12"/>
        <v>411552</v>
      </c>
    </row>
    <row r="348" spans="1:29" s="3" customFormat="1" ht="12">
      <c r="A348" s="3" t="s">
        <v>290</v>
      </c>
      <c r="C348" s="3" t="s">
        <v>98</v>
      </c>
      <c r="E348" s="3">
        <v>0</v>
      </c>
      <c r="G348" s="3">
        <v>4124952</v>
      </c>
      <c r="I348" s="3">
        <v>0</v>
      </c>
      <c r="K348" s="3">
        <v>172259</v>
      </c>
      <c r="M348" s="3">
        <v>0</v>
      </c>
      <c r="O348" s="3">
        <v>15001</v>
      </c>
      <c r="Q348" s="3">
        <v>63777</v>
      </c>
      <c r="S348" s="3">
        <v>27274</v>
      </c>
      <c r="U348" s="9">
        <v>0</v>
      </c>
      <c r="V348" s="9"/>
      <c r="W348" s="9">
        <v>0</v>
      </c>
      <c r="X348" s="9"/>
      <c r="Y348" s="9">
        <v>0</v>
      </c>
      <c r="Z348" s="9"/>
      <c r="AA348" s="9">
        <v>0</v>
      </c>
      <c r="AC348" s="3">
        <f t="shared" si="12"/>
        <v>4403263</v>
      </c>
    </row>
    <row r="349" spans="1:63" s="3" customFormat="1" ht="12">
      <c r="A349" s="3" t="s">
        <v>291</v>
      </c>
      <c r="C349" s="3" t="s">
        <v>47</v>
      </c>
      <c r="E349" s="3">
        <v>0</v>
      </c>
      <c r="G349" s="3">
        <v>532294.88</v>
      </c>
      <c r="I349" s="3">
        <v>0</v>
      </c>
      <c r="K349" s="3">
        <v>10969.73</v>
      </c>
      <c r="M349" s="3">
        <v>0</v>
      </c>
      <c r="O349" s="3">
        <v>11725.96</v>
      </c>
      <c r="Q349" s="3">
        <v>5503.9</v>
      </c>
      <c r="S349" s="3">
        <v>2055.15</v>
      </c>
      <c r="U349" s="3">
        <v>0</v>
      </c>
      <c r="W349" s="3">
        <v>0</v>
      </c>
      <c r="Y349" s="3">
        <v>0</v>
      </c>
      <c r="AA349" s="3">
        <v>0</v>
      </c>
      <c r="AC349" s="3">
        <f t="shared" si="12"/>
        <v>562549.62</v>
      </c>
      <c r="AE349" s="39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</row>
    <row r="350" spans="1:63" s="3" customFormat="1" ht="12">
      <c r="A350" s="3" t="s">
        <v>292</v>
      </c>
      <c r="C350" s="3" t="s">
        <v>14</v>
      </c>
      <c r="E350" s="3">
        <v>0</v>
      </c>
      <c r="G350" s="3">
        <v>513655.46</v>
      </c>
      <c r="I350" s="3">
        <v>0</v>
      </c>
      <c r="K350" s="3">
        <v>11098.77</v>
      </c>
      <c r="M350" s="3">
        <v>0</v>
      </c>
      <c r="O350" s="3">
        <v>14100.52</v>
      </c>
      <c r="Q350" s="3">
        <v>34488.49</v>
      </c>
      <c r="S350" s="3">
        <v>4113.51</v>
      </c>
      <c r="U350" s="3">
        <v>0</v>
      </c>
      <c r="W350" s="3">
        <v>0</v>
      </c>
      <c r="Y350" s="3">
        <v>0</v>
      </c>
      <c r="AA350" s="3">
        <v>0</v>
      </c>
      <c r="AC350" s="3">
        <f t="shared" si="12"/>
        <v>577456.75</v>
      </c>
      <c r="AE350" s="39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</row>
    <row r="351" spans="1:29" s="3" customFormat="1" ht="12">
      <c r="A351" s="3" t="s">
        <v>293</v>
      </c>
      <c r="C351" s="3" t="s">
        <v>26</v>
      </c>
      <c r="E351" s="3">
        <v>4242927</v>
      </c>
      <c r="G351" s="3">
        <v>8292565</v>
      </c>
      <c r="I351" s="3">
        <v>760277</v>
      </c>
      <c r="K351" s="3">
        <v>248811</v>
      </c>
      <c r="M351" s="3">
        <v>53056</v>
      </c>
      <c r="O351" s="3">
        <v>242555</v>
      </c>
      <c r="Q351" s="3">
        <v>201203</v>
      </c>
      <c r="S351" s="3">
        <v>60858</v>
      </c>
      <c r="U351" s="3">
        <v>0</v>
      </c>
      <c r="W351" s="3">
        <v>0</v>
      </c>
      <c r="Y351" s="3">
        <v>0</v>
      </c>
      <c r="AA351" s="3">
        <v>262054</v>
      </c>
      <c r="AC351" s="3">
        <f t="shared" si="12"/>
        <v>14364306</v>
      </c>
    </row>
    <row r="352" spans="1:29" s="3" customFormat="1" ht="12">
      <c r="A352" s="3" t="s">
        <v>294</v>
      </c>
      <c r="C352" s="3" t="s">
        <v>295</v>
      </c>
      <c r="E352" s="3">
        <v>0</v>
      </c>
      <c r="G352" s="3">
        <v>2957495</v>
      </c>
      <c r="I352" s="3">
        <v>0</v>
      </c>
      <c r="K352" s="3">
        <v>68644</v>
      </c>
      <c r="M352" s="3">
        <v>5388</v>
      </c>
      <c r="O352" s="3">
        <v>4510</v>
      </c>
      <c r="Q352" s="3">
        <v>193620</v>
      </c>
      <c r="S352" s="3">
        <v>32943</v>
      </c>
      <c r="T352" s="9"/>
      <c r="U352" s="9">
        <v>0</v>
      </c>
      <c r="V352" s="9"/>
      <c r="W352" s="9">
        <v>305000</v>
      </c>
      <c r="X352" s="9"/>
      <c r="Y352" s="9">
        <v>0</v>
      </c>
      <c r="Z352" s="9"/>
      <c r="AA352" s="9">
        <v>0</v>
      </c>
      <c r="AC352" s="3">
        <f t="shared" si="12"/>
        <v>3567600</v>
      </c>
    </row>
    <row r="353" spans="1:29" s="3" customFormat="1" ht="12">
      <c r="A353" s="3" t="s">
        <v>296</v>
      </c>
      <c r="C353" s="3" t="s">
        <v>23</v>
      </c>
      <c r="E353" s="3">
        <v>907167</v>
      </c>
      <c r="G353" s="3">
        <v>0</v>
      </c>
      <c r="I353" s="3">
        <v>1372804</v>
      </c>
      <c r="K353" s="3">
        <v>79519</v>
      </c>
      <c r="M353" s="3">
        <v>0</v>
      </c>
      <c r="O353" s="3">
        <v>2966</v>
      </c>
      <c r="Q353" s="3">
        <v>48976</v>
      </c>
      <c r="S353" s="3">
        <v>6885</v>
      </c>
      <c r="T353" s="9"/>
      <c r="U353" s="9">
        <v>0</v>
      </c>
      <c r="V353" s="9"/>
      <c r="W353" s="9">
        <v>100000</v>
      </c>
      <c r="X353" s="9"/>
      <c r="Y353" s="9">
        <v>0</v>
      </c>
      <c r="Z353" s="9"/>
      <c r="AA353" s="9">
        <v>0</v>
      </c>
      <c r="AC353" s="3">
        <f t="shared" si="12"/>
        <v>2518317</v>
      </c>
    </row>
    <row r="354" spans="1:63" s="3" customFormat="1" ht="12">
      <c r="A354" s="3" t="s">
        <v>297</v>
      </c>
      <c r="C354" s="3" t="s">
        <v>45</v>
      </c>
      <c r="E354" s="3">
        <v>0</v>
      </c>
      <c r="G354" s="3">
        <v>347776.64</v>
      </c>
      <c r="I354" s="3">
        <v>0</v>
      </c>
      <c r="K354" s="3">
        <v>13292.77</v>
      </c>
      <c r="M354" s="3">
        <v>0</v>
      </c>
      <c r="O354" s="3">
        <v>11067.95</v>
      </c>
      <c r="Q354" s="3">
        <v>6773.71</v>
      </c>
      <c r="S354" s="3">
        <v>434.99</v>
      </c>
      <c r="U354" s="3">
        <v>0</v>
      </c>
      <c r="W354" s="3">
        <v>0</v>
      </c>
      <c r="Y354" s="3">
        <v>0</v>
      </c>
      <c r="AA354" s="3">
        <v>0</v>
      </c>
      <c r="AC354" s="3">
        <f t="shared" si="12"/>
        <v>379346.06000000006</v>
      </c>
      <c r="AE354" s="39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</row>
    <row r="355" spans="1:63" s="3" customFormat="1" ht="12">
      <c r="A355" s="3" t="s">
        <v>298</v>
      </c>
      <c r="C355" s="3" t="s">
        <v>186</v>
      </c>
      <c r="E355" s="3">
        <v>0</v>
      </c>
      <c r="G355" s="3">
        <v>442394.18</v>
      </c>
      <c r="I355" s="3">
        <v>980</v>
      </c>
      <c r="K355" s="3">
        <v>12503.54</v>
      </c>
      <c r="M355" s="3">
        <v>0</v>
      </c>
      <c r="O355" s="3">
        <v>9910.92</v>
      </c>
      <c r="Q355" s="3">
        <v>84045.37</v>
      </c>
      <c r="S355" s="3">
        <v>941.69</v>
      </c>
      <c r="U355" s="3">
        <v>0</v>
      </c>
      <c r="W355" s="3">
        <v>25000</v>
      </c>
      <c r="Y355" s="3">
        <v>0</v>
      </c>
      <c r="AA355" s="3">
        <v>0</v>
      </c>
      <c r="AC355" s="3">
        <f t="shared" si="12"/>
        <v>575775.7</v>
      </c>
      <c r="AE355" s="39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</row>
    <row r="356" spans="1:29" s="3" customFormat="1" ht="12">
      <c r="A356" s="3" t="s">
        <v>299</v>
      </c>
      <c r="C356" s="3" t="s">
        <v>23</v>
      </c>
      <c r="E356" s="3">
        <v>1037783</v>
      </c>
      <c r="G356" s="3">
        <v>1627685</v>
      </c>
      <c r="I356" s="3">
        <v>0</v>
      </c>
      <c r="K356" s="3">
        <v>20987</v>
      </c>
      <c r="M356" s="3">
        <v>0</v>
      </c>
      <c r="O356" s="3">
        <v>345564</v>
      </c>
      <c r="Q356" s="3">
        <v>128041</v>
      </c>
      <c r="S356" s="3">
        <v>2762</v>
      </c>
      <c r="U356" s="3">
        <v>0</v>
      </c>
      <c r="W356" s="3">
        <v>343682</v>
      </c>
      <c r="X356" s="9"/>
      <c r="Y356" s="9">
        <v>0</v>
      </c>
      <c r="Z356" s="9"/>
      <c r="AA356" s="9">
        <v>0</v>
      </c>
      <c r="AC356" s="3">
        <f t="shared" si="12"/>
        <v>3506504</v>
      </c>
    </row>
    <row r="357" spans="1:29" s="3" customFormat="1" ht="12">
      <c r="A357" s="3" t="s">
        <v>300</v>
      </c>
      <c r="C357" s="3" t="s">
        <v>48</v>
      </c>
      <c r="E357" s="3">
        <v>1166683</v>
      </c>
      <c r="G357" s="3">
        <v>0</v>
      </c>
      <c r="I357" s="3">
        <v>0</v>
      </c>
      <c r="K357" s="3">
        <v>41590</v>
      </c>
      <c r="M357" s="3">
        <v>0</v>
      </c>
      <c r="O357" s="3">
        <v>41747</v>
      </c>
      <c r="Q357" s="3">
        <v>103707</v>
      </c>
      <c r="S357" s="3">
        <v>9858</v>
      </c>
      <c r="T357" s="9"/>
      <c r="U357" s="9">
        <v>0</v>
      </c>
      <c r="V357" s="9"/>
      <c r="W357" s="9">
        <v>20</v>
      </c>
      <c r="X357" s="9"/>
      <c r="Y357" s="9">
        <v>0</v>
      </c>
      <c r="Z357" s="9"/>
      <c r="AA357" s="9">
        <v>0</v>
      </c>
      <c r="AC357" s="3">
        <f t="shared" si="12"/>
        <v>1363605</v>
      </c>
    </row>
    <row r="358" spans="1:29" s="3" customFormat="1" ht="12">
      <c r="A358" s="9" t="s">
        <v>509</v>
      </c>
      <c r="C358" s="3" t="s">
        <v>56</v>
      </c>
      <c r="E358" s="3">
        <v>0</v>
      </c>
      <c r="G358" s="3">
        <v>580154</v>
      </c>
      <c r="I358" s="3">
        <v>0</v>
      </c>
      <c r="K358" s="3">
        <v>17306</v>
      </c>
      <c r="M358" s="3">
        <v>0</v>
      </c>
      <c r="O358" s="3">
        <v>16069</v>
      </c>
      <c r="Q358" s="3">
        <v>23128</v>
      </c>
      <c r="S358" s="3">
        <v>10438</v>
      </c>
      <c r="U358" s="3">
        <v>170481</v>
      </c>
      <c r="V358" s="9"/>
      <c r="W358" s="9">
        <v>147503</v>
      </c>
      <c r="X358" s="9"/>
      <c r="Y358" s="9">
        <v>0</v>
      </c>
      <c r="Z358" s="9"/>
      <c r="AA358" s="9">
        <v>0</v>
      </c>
      <c r="AC358" s="3">
        <f t="shared" si="12"/>
        <v>965079</v>
      </c>
    </row>
    <row r="359" spans="1:29" s="3" customFormat="1" ht="12">
      <c r="A359" s="3" t="s">
        <v>301</v>
      </c>
      <c r="C359" s="3" t="s">
        <v>302</v>
      </c>
      <c r="E359" s="3">
        <v>12778177</v>
      </c>
      <c r="G359" s="3">
        <v>0</v>
      </c>
      <c r="I359" s="3">
        <v>20657640</v>
      </c>
      <c r="K359" s="3">
        <v>810473</v>
      </c>
      <c r="M359" s="3">
        <v>147244</v>
      </c>
      <c r="O359" s="3">
        <v>112436</v>
      </c>
      <c r="Q359" s="3">
        <v>577410</v>
      </c>
      <c r="S359" s="3">
        <v>220320</v>
      </c>
      <c r="T359" s="9"/>
      <c r="U359" s="9">
        <v>827735</v>
      </c>
      <c r="V359" s="9"/>
      <c r="W359" s="9">
        <v>1600000</v>
      </c>
      <c r="X359" s="9"/>
      <c r="Y359" s="9">
        <v>0</v>
      </c>
      <c r="Z359" s="9"/>
      <c r="AA359" s="9">
        <v>0</v>
      </c>
      <c r="AC359" s="3">
        <f t="shared" si="12"/>
        <v>37731435</v>
      </c>
    </row>
    <row r="360" spans="1:29" s="3" customFormat="1" ht="12">
      <c r="A360" s="9" t="s">
        <v>510</v>
      </c>
      <c r="B360" s="9"/>
      <c r="C360" s="9" t="s">
        <v>56</v>
      </c>
      <c r="E360" s="3">
        <v>0</v>
      </c>
      <c r="G360" s="3">
        <v>0</v>
      </c>
      <c r="I360" s="3">
        <v>1545777</v>
      </c>
      <c r="K360" s="3">
        <v>47809</v>
      </c>
      <c r="M360" s="3">
        <v>0</v>
      </c>
      <c r="O360" s="3">
        <v>142270</v>
      </c>
      <c r="Q360" s="3">
        <v>68018</v>
      </c>
      <c r="S360" s="3">
        <v>4654</v>
      </c>
      <c r="U360" s="3">
        <v>0</v>
      </c>
      <c r="W360" s="3">
        <v>7500</v>
      </c>
      <c r="Y360" s="3">
        <v>0</v>
      </c>
      <c r="AA360" s="3">
        <v>0</v>
      </c>
      <c r="AB360" s="9"/>
      <c r="AC360" s="9">
        <f t="shared" si="12"/>
        <v>1816028</v>
      </c>
    </row>
    <row r="361" spans="1:29" s="3" customFormat="1" ht="12">
      <c r="A361" s="3" t="s">
        <v>303</v>
      </c>
      <c r="C361" s="3" t="s">
        <v>27</v>
      </c>
      <c r="E361" s="3">
        <v>210025</v>
      </c>
      <c r="G361" s="3">
        <v>208487</v>
      </c>
      <c r="I361" s="3">
        <v>1617872</v>
      </c>
      <c r="K361" s="3">
        <v>46175</v>
      </c>
      <c r="M361" s="3">
        <v>0</v>
      </c>
      <c r="O361" s="3">
        <v>210308</v>
      </c>
      <c r="Q361" s="3">
        <v>33917</v>
      </c>
      <c r="S361" s="3">
        <v>1625</v>
      </c>
      <c r="U361" s="3">
        <v>1365</v>
      </c>
      <c r="W361" s="3">
        <v>110000</v>
      </c>
      <c r="Y361" s="3">
        <v>0</v>
      </c>
      <c r="AA361" s="3">
        <v>0</v>
      </c>
      <c r="AB361" s="9"/>
      <c r="AC361" s="9">
        <f t="shared" si="12"/>
        <v>2439774</v>
      </c>
    </row>
    <row r="362" spans="1:29" s="3" customFormat="1" ht="12">
      <c r="A362" s="3" t="s">
        <v>367</v>
      </c>
      <c r="C362" s="3" t="s">
        <v>23</v>
      </c>
      <c r="E362" s="3">
        <v>715248</v>
      </c>
      <c r="G362" s="3">
        <v>0</v>
      </c>
      <c r="I362" s="3">
        <v>1537267</v>
      </c>
      <c r="K362" s="3">
        <v>65549</v>
      </c>
      <c r="M362" s="3">
        <v>0</v>
      </c>
      <c r="O362" s="3">
        <v>19618</v>
      </c>
      <c r="Q362" s="3">
        <v>50458</v>
      </c>
      <c r="S362" s="3">
        <v>2542</v>
      </c>
      <c r="T362" s="9"/>
      <c r="U362" s="9">
        <v>0</v>
      </c>
      <c r="V362" s="9"/>
      <c r="W362" s="9">
        <v>136500</v>
      </c>
      <c r="X362" s="9"/>
      <c r="Y362" s="9">
        <v>0</v>
      </c>
      <c r="Z362" s="9"/>
      <c r="AA362" s="9">
        <v>0</v>
      </c>
      <c r="AC362" s="3">
        <f t="shared" si="12"/>
        <v>2527182</v>
      </c>
    </row>
    <row r="363" spans="1:29" s="3" customFormat="1" ht="12">
      <c r="A363" s="3" t="s">
        <v>304</v>
      </c>
      <c r="C363" s="3" t="s">
        <v>50</v>
      </c>
      <c r="E363" s="3">
        <v>0</v>
      </c>
      <c r="G363" s="3">
        <v>531630</v>
      </c>
      <c r="I363" s="3">
        <v>0</v>
      </c>
      <c r="K363" s="3">
        <v>12307</v>
      </c>
      <c r="M363" s="3">
        <v>0</v>
      </c>
      <c r="O363" s="3">
        <v>848</v>
      </c>
      <c r="Q363" s="3">
        <v>825</v>
      </c>
      <c r="S363" s="3">
        <v>22</v>
      </c>
      <c r="T363" s="9"/>
      <c r="U363" s="9">
        <v>0</v>
      </c>
      <c r="V363" s="9"/>
      <c r="W363" s="9">
        <v>0</v>
      </c>
      <c r="X363" s="9"/>
      <c r="Y363" s="9">
        <v>0</v>
      </c>
      <c r="Z363" s="9"/>
      <c r="AA363" s="9">
        <v>0</v>
      </c>
      <c r="AC363" s="3">
        <f t="shared" si="12"/>
        <v>545632</v>
      </c>
    </row>
    <row r="364" spans="1:29" s="3" customFormat="1" ht="12">
      <c r="A364" s="3" t="s">
        <v>305</v>
      </c>
      <c r="C364" s="3" t="s">
        <v>98</v>
      </c>
      <c r="E364" s="3">
        <v>2018330</v>
      </c>
      <c r="G364" s="3">
        <v>3200661</v>
      </c>
      <c r="I364" s="3">
        <v>264148</v>
      </c>
      <c r="K364" s="3">
        <v>196825</v>
      </c>
      <c r="M364" s="3">
        <v>0</v>
      </c>
      <c r="O364" s="3">
        <v>15081</v>
      </c>
      <c r="Q364" s="3">
        <v>138911</v>
      </c>
      <c r="S364" s="3">
        <v>83024</v>
      </c>
      <c r="T364" s="9"/>
      <c r="U364" s="9">
        <v>0</v>
      </c>
      <c r="V364" s="9"/>
      <c r="W364" s="9">
        <v>265000</v>
      </c>
      <c r="X364" s="9"/>
      <c r="Y364" s="9">
        <v>0</v>
      </c>
      <c r="Z364" s="9"/>
      <c r="AA364" s="9">
        <v>0</v>
      </c>
      <c r="AC364" s="3">
        <f t="shared" si="12"/>
        <v>6181980</v>
      </c>
    </row>
    <row r="365" spans="1:29" s="3" customFormat="1" ht="12">
      <c r="A365" s="3" t="s">
        <v>306</v>
      </c>
      <c r="C365" s="3" t="s">
        <v>66</v>
      </c>
      <c r="E365" s="3">
        <v>0</v>
      </c>
      <c r="G365" s="3">
        <v>325593</v>
      </c>
      <c r="I365" s="3">
        <v>0</v>
      </c>
      <c r="K365" s="3">
        <v>15093</v>
      </c>
      <c r="M365" s="3">
        <v>0</v>
      </c>
      <c r="O365" s="3">
        <v>11648</v>
      </c>
      <c r="Q365" s="3">
        <v>24876</v>
      </c>
      <c r="S365" s="3">
        <v>260</v>
      </c>
      <c r="T365" s="9"/>
      <c r="U365" s="9">
        <v>0</v>
      </c>
      <c r="V365" s="9"/>
      <c r="W365" s="9">
        <v>0</v>
      </c>
      <c r="X365" s="9"/>
      <c r="Y365" s="9">
        <v>0</v>
      </c>
      <c r="Z365" s="9"/>
      <c r="AA365" s="9">
        <v>0</v>
      </c>
      <c r="AC365" s="3">
        <f t="shared" si="12"/>
        <v>377470</v>
      </c>
    </row>
    <row r="366" spans="1:29" s="3" customFormat="1" ht="12">
      <c r="A366" s="3" t="s">
        <v>307</v>
      </c>
      <c r="C366" s="3" t="s">
        <v>59</v>
      </c>
      <c r="E366" s="3">
        <v>2286432</v>
      </c>
      <c r="G366" s="3">
        <v>4348500</v>
      </c>
      <c r="I366" s="3">
        <v>68120</v>
      </c>
      <c r="K366" s="3">
        <v>139291</v>
      </c>
      <c r="M366" s="3">
        <v>0</v>
      </c>
      <c r="O366" s="3">
        <v>32319</v>
      </c>
      <c r="Q366" s="3">
        <v>104254</v>
      </c>
      <c r="S366" s="3">
        <v>12595</v>
      </c>
      <c r="U366" s="3">
        <v>1162</v>
      </c>
      <c r="V366" s="9"/>
      <c r="W366" s="9">
        <v>21110</v>
      </c>
      <c r="X366" s="9"/>
      <c r="Y366" s="9">
        <v>0</v>
      </c>
      <c r="Z366" s="9"/>
      <c r="AA366" s="9">
        <v>0</v>
      </c>
      <c r="AC366" s="3">
        <f t="shared" si="12"/>
        <v>7013783</v>
      </c>
    </row>
    <row r="367" spans="1:29" s="3" customFormat="1" ht="12">
      <c r="A367" s="3" t="s">
        <v>308</v>
      </c>
      <c r="C367" s="3" t="s">
        <v>28</v>
      </c>
      <c r="E367" s="3">
        <v>0</v>
      </c>
      <c r="G367" s="3">
        <v>0</v>
      </c>
      <c r="I367" s="3">
        <v>2369599</v>
      </c>
      <c r="K367" s="3">
        <v>0</v>
      </c>
      <c r="M367" s="3">
        <v>83611</v>
      </c>
      <c r="O367" s="3">
        <v>13052</v>
      </c>
      <c r="Q367" s="3">
        <v>85831</v>
      </c>
      <c r="S367" s="3">
        <v>5546</v>
      </c>
      <c r="U367" s="3">
        <v>0</v>
      </c>
      <c r="W367" s="3">
        <v>0</v>
      </c>
      <c r="Y367" s="3">
        <v>0</v>
      </c>
      <c r="AA367" s="3">
        <v>445528</v>
      </c>
      <c r="AC367" s="3">
        <f t="shared" si="12"/>
        <v>3003167</v>
      </c>
    </row>
    <row r="368" spans="1:29" s="3" customFormat="1" ht="12">
      <c r="A368" s="3" t="s">
        <v>309</v>
      </c>
      <c r="C368" s="3" t="s">
        <v>58</v>
      </c>
      <c r="E368" s="3">
        <v>3494636</v>
      </c>
      <c r="G368" s="3">
        <v>2635855</v>
      </c>
      <c r="I368" s="3">
        <v>362043</v>
      </c>
      <c r="K368" s="3">
        <v>215408</v>
      </c>
      <c r="M368" s="3">
        <v>0</v>
      </c>
      <c r="O368" s="3">
        <v>12566</v>
      </c>
      <c r="Q368" s="3">
        <v>510586</v>
      </c>
      <c r="S368" s="3">
        <v>7349</v>
      </c>
      <c r="U368" s="9">
        <v>0</v>
      </c>
      <c r="V368" s="9"/>
      <c r="W368" s="9">
        <v>0</v>
      </c>
      <c r="X368" s="9"/>
      <c r="Y368" s="9">
        <v>0</v>
      </c>
      <c r="Z368" s="9"/>
      <c r="AA368" s="9">
        <v>0</v>
      </c>
      <c r="AC368" s="3">
        <f t="shared" si="12"/>
        <v>7238443</v>
      </c>
    </row>
    <row r="369" spans="1:63" s="3" customFormat="1" ht="12">
      <c r="A369" s="3" t="s">
        <v>536</v>
      </c>
      <c r="C369" s="3" t="s">
        <v>45</v>
      </c>
      <c r="E369" s="3">
        <v>26553.09</v>
      </c>
      <c r="G369" s="3">
        <v>379854.05</v>
      </c>
      <c r="I369" s="3">
        <v>4205.26</v>
      </c>
      <c r="K369" s="3">
        <v>12439.88</v>
      </c>
      <c r="M369" s="3">
        <v>0</v>
      </c>
      <c r="O369" s="3">
        <v>2933.94</v>
      </c>
      <c r="Q369" s="3">
        <v>52820.61</v>
      </c>
      <c r="S369" s="3">
        <v>1367.67</v>
      </c>
      <c r="U369" s="3">
        <v>0</v>
      </c>
      <c r="W369" s="3">
        <v>0</v>
      </c>
      <c r="Y369" s="3">
        <v>0</v>
      </c>
      <c r="AA369" s="3">
        <v>0</v>
      </c>
      <c r="AC369" s="3">
        <f t="shared" si="12"/>
        <v>480174.5</v>
      </c>
      <c r="AE369" s="39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</row>
    <row r="370" spans="1:29" s="3" customFormat="1" ht="12">
      <c r="A370" s="3" t="s">
        <v>310</v>
      </c>
      <c r="C370" s="3" t="s">
        <v>254</v>
      </c>
      <c r="E370" s="3">
        <v>1889270</v>
      </c>
      <c r="G370" s="3">
        <v>3539111</v>
      </c>
      <c r="I370" s="3">
        <v>242444</v>
      </c>
      <c r="K370" s="3">
        <v>185271</v>
      </c>
      <c r="M370" s="3">
        <v>0</v>
      </c>
      <c r="O370" s="3">
        <v>586617</v>
      </c>
      <c r="Q370" s="3">
        <v>375190</v>
      </c>
      <c r="S370" s="3">
        <v>43242</v>
      </c>
      <c r="T370" s="9"/>
      <c r="U370" s="9">
        <v>0</v>
      </c>
      <c r="V370" s="9"/>
      <c r="W370" s="9">
        <v>1148894</v>
      </c>
      <c r="X370" s="9"/>
      <c r="Y370" s="9">
        <v>0</v>
      </c>
      <c r="Z370" s="9"/>
      <c r="AA370" s="9">
        <v>0</v>
      </c>
      <c r="AC370" s="3">
        <f t="shared" si="12"/>
        <v>8010039</v>
      </c>
    </row>
    <row r="371" spans="1:29" s="3" customFormat="1" ht="12">
      <c r="A371" s="3" t="s">
        <v>311</v>
      </c>
      <c r="C371" s="3" t="s">
        <v>68</v>
      </c>
      <c r="E371" s="3">
        <v>0</v>
      </c>
      <c r="G371" s="3">
        <v>335619</v>
      </c>
      <c r="I371" s="3">
        <v>3477</v>
      </c>
      <c r="K371" s="3">
        <v>6244</v>
      </c>
      <c r="M371" s="3">
        <v>0</v>
      </c>
      <c r="O371" s="3">
        <v>2212</v>
      </c>
      <c r="Q371" s="3">
        <v>16859</v>
      </c>
      <c r="S371" s="3">
        <v>1153</v>
      </c>
      <c r="T371" s="9"/>
      <c r="U371" s="9">
        <v>0</v>
      </c>
      <c r="V371" s="9"/>
      <c r="W371" s="9">
        <v>0</v>
      </c>
      <c r="X371" s="9"/>
      <c r="Y371" s="9">
        <v>0</v>
      </c>
      <c r="Z371" s="9"/>
      <c r="AA371" s="9">
        <v>0</v>
      </c>
      <c r="AC371" s="3">
        <f t="shared" si="12"/>
        <v>365564</v>
      </c>
    </row>
    <row r="372" spans="1:63" s="3" customFormat="1" ht="12">
      <c r="A372" s="3" t="s">
        <v>537</v>
      </c>
      <c r="C372" s="3" t="s">
        <v>68</v>
      </c>
      <c r="E372" s="3">
        <v>452755.65</v>
      </c>
      <c r="G372" s="3">
        <v>1118944.64</v>
      </c>
      <c r="I372" s="3">
        <v>63229.36</v>
      </c>
      <c r="K372" s="3">
        <v>64417.73</v>
      </c>
      <c r="M372" s="3">
        <v>0</v>
      </c>
      <c r="O372" s="3">
        <v>6024.24</v>
      </c>
      <c r="Q372" s="3">
        <v>40645.05</v>
      </c>
      <c r="S372" s="3">
        <v>37145.59</v>
      </c>
      <c r="U372" s="3">
        <v>2943.16</v>
      </c>
      <c r="W372" s="3">
        <v>0</v>
      </c>
      <c r="Y372" s="3">
        <v>0</v>
      </c>
      <c r="AA372" s="3">
        <v>0</v>
      </c>
      <c r="AC372" s="3">
        <f t="shared" si="12"/>
        <v>1786105.4200000002</v>
      </c>
      <c r="AE372" s="39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</row>
    <row r="373" spans="1:63" s="3" customFormat="1" ht="12">
      <c r="A373" s="3" t="s">
        <v>313</v>
      </c>
      <c r="C373" s="3" t="s">
        <v>54</v>
      </c>
      <c r="E373" s="3">
        <v>0</v>
      </c>
      <c r="G373" s="3">
        <v>414156.25</v>
      </c>
      <c r="I373" s="3">
        <v>0</v>
      </c>
      <c r="K373" s="3">
        <v>5644.08</v>
      </c>
      <c r="M373" s="3">
        <v>0</v>
      </c>
      <c r="O373" s="3">
        <v>2405.51</v>
      </c>
      <c r="Q373" s="3">
        <v>69629.44</v>
      </c>
      <c r="S373" s="3">
        <v>289.9</v>
      </c>
      <c r="U373" s="3">
        <v>0</v>
      </c>
      <c r="W373" s="3">
        <v>0</v>
      </c>
      <c r="Y373" s="3">
        <v>0</v>
      </c>
      <c r="AA373" s="3">
        <v>0</v>
      </c>
      <c r="AC373" s="3">
        <f t="shared" si="12"/>
        <v>492125.18000000005</v>
      </c>
      <c r="AE373" s="39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</row>
    <row r="374" spans="1:63" s="3" customFormat="1" ht="12">
      <c r="A374" s="3" t="s">
        <v>314</v>
      </c>
      <c r="C374" s="3" t="s">
        <v>68</v>
      </c>
      <c r="E374" s="3">
        <v>0</v>
      </c>
      <c r="G374" s="3">
        <v>401086.19</v>
      </c>
      <c r="I374" s="3">
        <v>0</v>
      </c>
      <c r="K374" s="3">
        <v>9488.44</v>
      </c>
      <c r="M374" s="3">
        <v>0</v>
      </c>
      <c r="O374" s="3">
        <v>1032</v>
      </c>
      <c r="Q374" s="3">
        <v>41281.82</v>
      </c>
      <c r="S374" s="3">
        <v>5562.6</v>
      </c>
      <c r="U374" s="3">
        <v>0</v>
      </c>
      <c r="W374" s="3">
        <v>0</v>
      </c>
      <c r="Y374" s="3">
        <v>0</v>
      </c>
      <c r="AA374" s="3">
        <v>0</v>
      </c>
      <c r="AC374" s="3">
        <f t="shared" si="12"/>
        <v>458451.05</v>
      </c>
      <c r="AE374" s="39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</row>
    <row r="375" spans="1:63" s="3" customFormat="1" ht="12">
      <c r="A375" s="3" t="s">
        <v>538</v>
      </c>
      <c r="C375" s="3" t="s">
        <v>16</v>
      </c>
      <c r="E375" s="3">
        <v>284908.14</v>
      </c>
      <c r="G375" s="3">
        <v>881864.93</v>
      </c>
      <c r="I375" s="3">
        <v>0</v>
      </c>
      <c r="K375" s="3">
        <v>26031.99</v>
      </c>
      <c r="M375" s="3">
        <v>0</v>
      </c>
      <c r="O375" s="3">
        <v>1100</v>
      </c>
      <c r="Q375" s="3">
        <v>75405.85</v>
      </c>
      <c r="S375" s="3">
        <v>11582.2</v>
      </c>
      <c r="U375" s="3">
        <v>1488.1</v>
      </c>
      <c r="W375" s="3">
        <v>550000</v>
      </c>
      <c r="Y375" s="3">
        <v>0</v>
      </c>
      <c r="AA375" s="3">
        <v>0</v>
      </c>
      <c r="AC375" s="3">
        <f t="shared" si="12"/>
        <v>1832381.2100000002</v>
      </c>
      <c r="AE375" s="39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</row>
    <row r="376" spans="1:29" s="3" customFormat="1" ht="12">
      <c r="A376" s="3" t="s">
        <v>315</v>
      </c>
      <c r="C376" s="3" t="s">
        <v>95</v>
      </c>
      <c r="E376" s="3">
        <v>4900</v>
      </c>
      <c r="G376" s="3">
        <v>789226</v>
      </c>
      <c r="I376" s="3">
        <v>150</v>
      </c>
      <c r="K376" s="3">
        <v>26608</v>
      </c>
      <c r="M376" s="3">
        <v>0</v>
      </c>
      <c r="O376" s="3">
        <v>137070</v>
      </c>
      <c r="Q376" s="3">
        <v>18095</v>
      </c>
      <c r="S376" s="3">
        <v>12286</v>
      </c>
      <c r="T376" s="9"/>
      <c r="U376" s="9">
        <v>0</v>
      </c>
      <c r="V376" s="9"/>
      <c r="W376" s="9">
        <v>0</v>
      </c>
      <c r="X376" s="9"/>
      <c r="Y376" s="9">
        <v>0</v>
      </c>
      <c r="Z376" s="9"/>
      <c r="AA376" s="9">
        <v>0</v>
      </c>
      <c r="AC376" s="3">
        <f t="shared" si="12"/>
        <v>988335</v>
      </c>
    </row>
    <row r="377" spans="1:29" s="3" customFormat="1" ht="12">
      <c r="A377" s="3" t="s">
        <v>316</v>
      </c>
      <c r="C377" s="3" t="s">
        <v>230</v>
      </c>
      <c r="E377" s="3">
        <v>623559</v>
      </c>
      <c r="G377" s="3">
        <v>1195405</v>
      </c>
      <c r="I377" s="3">
        <v>0</v>
      </c>
      <c r="K377" s="3">
        <v>30790</v>
      </c>
      <c r="M377" s="3">
        <v>0</v>
      </c>
      <c r="O377" s="3">
        <v>118106</v>
      </c>
      <c r="Q377" s="3">
        <v>31337</v>
      </c>
      <c r="S377" s="3">
        <v>8924</v>
      </c>
      <c r="T377" s="9"/>
      <c r="U377" s="9">
        <v>0</v>
      </c>
      <c r="V377" s="9"/>
      <c r="W377" s="9">
        <v>0</v>
      </c>
      <c r="X377" s="9"/>
      <c r="Y377" s="9">
        <v>0</v>
      </c>
      <c r="Z377" s="9"/>
      <c r="AA377" s="9">
        <v>0</v>
      </c>
      <c r="AC377" s="3">
        <f t="shared" si="12"/>
        <v>2008121</v>
      </c>
    </row>
    <row r="378" spans="1:29" s="3" customFormat="1" ht="12">
      <c r="A378" s="3" t="s">
        <v>317</v>
      </c>
      <c r="C378" s="3" t="s">
        <v>16</v>
      </c>
      <c r="E378" s="3">
        <v>1872792</v>
      </c>
      <c r="G378" s="3">
        <v>2252713</v>
      </c>
      <c r="I378" s="3">
        <v>411527</v>
      </c>
      <c r="K378" s="3">
        <v>114225</v>
      </c>
      <c r="M378" s="3">
        <v>0</v>
      </c>
      <c r="O378" s="3">
        <v>3584</v>
      </c>
      <c r="Q378" s="3">
        <v>123331</v>
      </c>
      <c r="S378" s="3">
        <v>30248</v>
      </c>
      <c r="U378" s="3">
        <v>0</v>
      </c>
      <c r="W378" s="3">
        <v>106560</v>
      </c>
      <c r="X378" s="9"/>
      <c r="Y378" s="9">
        <v>0</v>
      </c>
      <c r="Z378" s="9"/>
      <c r="AA378" s="9">
        <v>0</v>
      </c>
      <c r="AC378" s="3">
        <f t="shared" si="12"/>
        <v>4914980</v>
      </c>
    </row>
    <row r="379" spans="1:63" s="3" customFormat="1" ht="12">
      <c r="A379" s="3" t="s">
        <v>318</v>
      </c>
      <c r="C379" s="3" t="s">
        <v>72</v>
      </c>
      <c r="E379" s="3">
        <v>0</v>
      </c>
      <c r="G379" s="3">
        <v>706241.81</v>
      </c>
      <c r="I379" s="3">
        <v>0</v>
      </c>
      <c r="K379" s="3">
        <v>26330.47</v>
      </c>
      <c r="M379" s="3">
        <v>0</v>
      </c>
      <c r="O379" s="3">
        <v>5765</v>
      </c>
      <c r="Q379" s="3">
        <v>41350.77</v>
      </c>
      <c r="S379" s="3">
        <v>4357.37</v>
      </c>
      <c r="U379" s="3">
        <v>0</v>
      </c>
      <c r="W379" s="3">
        <v>0</v>
      </c>
      <c r="Y379" s="3">
        <v>0</v>
      </c>
      <c r="AA379" s="3">
        <v>0</v>
      </c>
      <c r="AC379" s="3">
        <f t="shared" si="12"/>
        <v>784045.42</v>
      </c>
      <c r="AE379" s="39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</row>
    <row r="380" spans="1:29" s="3" customFormat="1" ht="12">
      <c r="A380" s="3" t="s">
        <v>319</v>
      </c>
      <c r="C380" s="3" t="s">
        <v>68</v>
      </c>
      <c r="E380" s="3">
        <v>0</v>
      </c>
      <c r="G380" s="3">
        <v>1629986</v>
      </c>
      <c r="I380" s="3">
        <v>0</v>
      </c>
      <c r="K380" s="3">
        <v>51216</v>
      </c>
      <c r="M380" s="3">
        <v>5276</v>
      </c>
      <c r="O380" s="3">
        <v>52120</v>
      </c>
      <c r="Q380" s="3">
        <v>19899</v>
      </c>
      <c r="S380" s="3">
        <v>12835</v>
      </c>
      <c r="U380" s="3">
        <v>0</v>
      </c>
      <c r="W380" s="3">
        <v>0</v>
      </c>
      <c r="Y380" s="3">
        <v>0</v>
      </c>
      <c r="AA380" s="3">
        <v>249900</v>
      </c>
      <c r="AC380" s="3">
        <f t="shared" si="12"/>
        <v>2021232</v>
      </c>
    </row>
    <row r="381" spans="1:63" s="3" customFormat="1" ht="12">
      <c r="A381" s="3" t="s">
        <v>320</v>
      </c>
      <c r="C381" s="3" t="s">
        <v>84</v>
      </c>
      <c r="E381" s="3">
        <v>0</v>
      </c>
      <c r="G381" s="3">
        <v>372654.14</v>
      </c>
      <c r="I381" s="3">
        <v>0</v>
      </c>
      <c r="K381" s="3">
        <v>11050.87</v>
      </c>
      <c r="M381" s="3">
        <v>0</v>
      </c>
      <c r="O381" s="3">
        <v>2245</v>
      </c>
      <c r="Q381" s="3">
        <v>5363.79</v>
      </c>
      <c r="S381" s="3">
        <v>75</v>
      </c>
      <c r="U381" s="3">
        <v>0</v>
      </c>
      <c r="W381" s="3">
        <v>0</v>
      </c>
      <c r="Y381" s="3">
        <v>0</v>
      </c>
      <c r="AA381" s="3">
        <v>0</v>
      </c>
      <c r="AC381" s="3">
        <f t="shared" si="12"/>
        <v>391388.8</v>
      </c>
      <c r="AE381" s="39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</row>
    <row r="382" spans="1:63" s="3" customFormat="1" ht="12">
      <c r="A382" s="3" t="s">
        <v>321</v>
      </c>
      <c r="C382" s="3" t="s">
        <v>73</v>
      </c>
      <c r="E382" s="3">
        <v>0</v>
      </c>
      <c r="G382" s="3">
        <v>155597.69</v>
      </c>
      <c r="I382" s="3">
        <v>2350</v>
      </c>
      <c r="K382" s="3">
        <v>1982.78</v>
      </c>
      <c r="M382" s="3">
        <v>0</v>
      </c>
      <c r="O382" s="3">
        <v>1463.03</v>
      </c>
      <c r="Q382" s="3">
        <v>6742.11</v>
      </c>
      <c r="S382" s="3">
        <v>345.66</v>
      </c>
      <c r="U382" s="3">
        <v>219.1</v>
      </c>
      <c r="W382" s="3">
        <v>0</v>
      </c>
      <c r="Y382" s="3">
        <v>0</v>
      </c>
      <c r="AA382" s="3">
        <v>0</v>
      </c>
      <c r="AC382" s="3">
        <f t="shared" si="12"/>
        <v>168700.37</v>
      </c>
      <c r="AE382" s="39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</row>
    <row r="383" spans="1:29" s="3" customFormat="1" ht="12">
      <c r="A383" s="3" t="s">
        <v>322</v>
      </c>
      <c r="C383" s="3" t="s">
        <v>98</v>
      </c>
      <c r="E383" s="3">
        <v>6613736</v>
      </c>
      <c r="G383" s="3">
        <v>3429348</v>
      </c>
      <c r="I383" s="3">
        <v>0</v>
      </c>
      <c r="K383" s="3">
        <v>282729</v>
      </c>
      <c r="M383" s="3">
        <v>748611</v>
      </c>
      <c r="O383" s="3">
        <v>18828</v>
      </c>
      <c r="Q383" s="3">
        <v>496133</v>
      </c>
      <c r="S383" s="3">
        <v>4735</v>
      </c>
      <c r="U383" s="3">
        <v>0</v>
      </c>
      <c r="V383" s="9"/>
      <c r="W383" s="9">
        <v>3856220</v>
      </c>
      <c r="X383" s="9"/>
      <c r="Y383" s="9">
        <v>0</v>
      </c>
      <c r="Z383" s="9"/>
      <c r="AA383" s="9">
        <v>0</v>
      </c>
      <c r="AC383" s="3">
        <f t="shared" si="12"/>
        <v>15450340</v>
      </c>
    </row>
    <row r="384" spans="1:63" s="3" customFormat="1" ht="12">
      <c r="A384" s="3" t="s">
        <v>539</v>
      </c>
      <c r="C384" s="3" t="s">
        <v>58</v>
      </c>
      <c r="E384" s="3">
        <v>173717.6</v>
      </c>
      <c r="G384" s="3">
        <v>1468332.05</v>
      </c>
      <c r="I384" s="3">
        <v>57411.03</v>
      </c>
      <c r="K384" s="3">
        <v>46313.83</v>
      </c>
      <c r="M384" s="3">
        <v>0</v>
      </c>
      <c r="O384" s="3">
        <v>55450.11</v>
      </c>
      <c r="Q384" s="3">
        <v>63145.57</v>
      </c>
      <c r="S384" s="3">
        <v>17700.22</v>
      </c>
      <c r="U384" s="3">
        <v>0</v>
      </c>
      <c r="W384" s="3">
        <v>0</v>
      </c>
      <c r="Y384" s="3">
        <v>0</v>
      </c>
      <c r="AA384" s="3">
        <v>0</v>
      </c>
      <c r="AC384" s="3">
        <f t="shared" si="12"/>
        <v>1882070.4100000004</v>
      </c>
      <c r="AE384" s="39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</row>
    <row r="385" spans="5:29" s="3" customFormat="1" ht="12"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C385" s="21"/>
    </row>
    <row r="386" s="3" customFormat="1" ht="12">
      <c r="M386" s="21"/>
    </row>
    <row r="387" spans="31:63" ht="12">
      <c r="AE387" s="35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</row>
    <row r="388" spans="31:63" ht="12">
      <c r="AE388" s="35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</row>
    <row r="389" spans="31:63" ht="12">
      <c r="AE389" s="35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</row>
    <row r="390" spans="31:63" ht="12">
      <c r="AE390" s="35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</row>
    <row r="391" spans="31:63" ht="12">
      <c r="AE391" s="35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</row>
    <row r="392" spans="31:63" ht="12">
      <c r="AE392" s="35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</row>
    <row r="393" spans="31:63" ht="12">
      <c r="AE393" s="35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</row>
    <row r="394" spans="31:63" ht="12">
      <c r="AE394" s="35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</row>
    <row r="395" spans="31:63" ht="12">
      <c r="AE395" s="35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</row>
    <row r="396" spans="31:63" ht="12">
      <c r="AE396" s="35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</row>
    <row r="397" spans="31:63" ht="12">
      <c r="AE397" s="35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</row>
    <row r="398" spans="31:63" ht="12">
      <c r="AE398" s="35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</row>
    <row r="399" spans="31:63" ht="12">
      <c r="AE399" s="35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</row>
    <row r="400" spans="31:63" ht="12">
      <c r="AE400" s="35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</row>
    <row r="401" spans="31:63" ht="12">
      <c r="AE401" s="35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</row>
    <row r="402" spans="31:63" ht="12">
      <c r="AE402" s="35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</row>
    <row r="403" spans="31:63" ht="12">
      <c r="AE403" s="35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</row>
    <row r="404" spans="31:63" ht="12">
      <c r="AE404" s="35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</row>
    <row r="405" spans="31:63" ht="12">
      <c r="AE405" s="35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</row>
    <row r="406" spans="31:63" ht="12">
      <c r="AE406" s="35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</row>
    <row r="407" spans="31:63" ht="12">
      <c r="AE407" s="35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</row>
    <row r="408" spans="31:63" ht="12">
      <c r="AE408" s="35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</row>
    <row r="409" spans="31:63" ht="12">
      <c r="AE409" s="35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</row>
    <row r="410" spans="31:63" ht="12">
      <c r="AE410" s="35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</row>
    <row r="411" spans="31:63" ht="12">
      <c r="AE411" s="35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</row>
    <row r="412" spans="31:63" ht="12">
      <c r="AE412" s="35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</row>
    <row r="413" spans="31:63" ht="12">
      <c r="AE413" s="35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</row>
    <row r="414" spans="31:63" ht="12">
      <c r="AE414" s="35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</row>
    <row r="415" spans="31:63" ht="12">
      <c r="AE415" s="35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</row>
    <row r="416" spans="31:63" ht="12">
      <c r="AE416" s="35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</row>
    <row r="417" spans="31:63" ht="12">
      <c r="AE417" s="35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</row>
    <row r="418" spans="31:63" ht="12">
      <c r="AE418" s="35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</row>
    <row r="419" spans="31:63" ht="12">
      <c r="AE419" s="35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</row>
    <row r="420" spans="31:63" ht="12">
      <c r="AE420" s="35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</row>
    <row r="421" spans="31:63" ht="12">
      <c r="AE421" s="35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</row>
    <row r="422" spans="31:63" ht="12">
      <c r="AE422" s="35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</row>
    <row r="423" spans="31:63" ht="12">
      <c r="AE423" s="35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</row>
    <row r="424" spans="31:63" ht="12">
      <c r="AE424" s="35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</row>
    <row r="425" spans="31:63" ht="12">
      <c r="AE425" s="35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</row>
    <row r="426" spans="31:63" ht="12">
      <c r="AE426" s="35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</row>
    <row r="427" spans="31:63" ht="12">
      <c r="AE427" s="35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</row>
    <row r="428" spans="31:63" ht="12">
      <c r="AE428" s="35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</row>
    <row r="429" spans="31:63" ht="12">
      <c r="AE429" s="35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</row>
    <row r="430" spans="31:63" ht="12">
      <c r="AE430" s="35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</row>
    <row r="431" spans="31:63" ht="12">
      <c r="AE431" s="35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</row>
    <row r="432" spans="31:63" ht="12">
      <c r="AE432" s="35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</row>
    <row r="433" spans="31:63" ht="12">
      <c r="AE433" s="35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</row>
    <row r="434" spans="31:63" ht="12">
      <c r="AE434" s="35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</row>
    <row r="435" spans="31:63" ht="12">
      <c r="AE435" s="35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</row>
    <row r="436" spans="31:63" ht="12">
      <c r="AE436" s="35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</row>
    <row r="437" spans="31:63" ht="12">
      <c r="AE437" s="35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</row>
    <row r="438" spans="31:63" ht="12">
      <c r="AE438" s="35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</row>
    <row r="439" spans="31:63" ht="12">
      <c r="AE439" s="35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</row>
    <row r="440" spans="31:63" ht="12">
      <c r="AE440" s="35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</row>
    <row r="441" spans="31:63" ht="12">
      <c r="AE441" s="35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</row>
    <row r="442" spans="31:63" ht="12">
      <c r="AE442" s="35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</row>
    <row r="443" spans="31:63" ht="12">
      <c r="AE443" s="35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</row>
    <row r="444" spans="31:63" ht="12">
      <c r="AE444" s="35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</row>
    <row r="445" spans="31:63" ht="12">
      <c r="AE445" s="35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</row>
    <row r="446" spans="31:63" ht="12">
      <c r="AE446" s="35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</row>
    <row r="447" spans="31:63" ht="12">
      <c r="AE447" s="35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</row>
    <row r="448" spans="31:63" ht="12">
      <c r="AE448" s="35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</row>
    <row r="449" spans="31:63" ht="12">
      <c r="AE449" s="35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</row>
    <row r="450" spans="31:63" ht="12">
      <c r="AE450" s="35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</row>
    <row r="451" spans="31:63" ht="12">
      <c r="AE451" s="35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</row>
    <row r="452" spans="31:63" ht="12">
      <c r="AE452" s="35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</row>
    <row r="453" spans="31:63" ht="12">
      <c r="AE453" s="35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</row>
    <row r="454" spans="31:63" ht="12">
      <c r="AE454" s="35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</row>
    <row r="455" spans="31:63" ht="12">
      <c r="AE455" s="35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</row>
    <row r="456" spans="31:63" ht="12">
      <c r="AE456" s="35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</row>
    <row r="457" spans="31:63" ht="12">
      <c r="AE457" s="35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</row>
    <row r="458" spans="31:63" ht="12">
      <c r="AE458" s="35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</row>
    <row r="459" spans="31:63" ht="12">
      <c r="AE459" s="35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</row>
    <row r="460" spans="31:63" ht="12">
      <c r="AE460" s="35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</row>
    <row r="461" spans="31:63" ht="12">
      <c r="AE461" s="35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</row>
    <row r="462" spans="31:63" ht="12">
      <c r="AE462" s="35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</row>
  </sheetData>
  <sheetProtection/>
  <printOptions/>
  <pageMargins left="0.75" right="0.75" top="0.5" bottom="0.5" header="0" footer="0.3"/>
  <pageSetup firstPageNumber="24" useFirstPageNumber="1" fitToHeight="3" fitToWidth="2" horizontalDpi="1200" verticalDpi="1200" orientation="portrait" pageOrder="overThenDown" scale="76" r:id="rId1"/>
  <headerFooter scaleWithDoc="0" alignWithMargins="0">
    <oddFooter>&amp;C&amp;"Times New Roman,Regular"&amp;11&amp;P</oddFooter>
  </headerFooter>
  <rowBreaks count="3" manualBreakCount="3">
    <brk id="146" max="28" man="1"/>
    <brk id="272" max="28" man="1"/>
    <brk id="343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B382"/>
  <sheetViews>
    <sheetView tabSelected="1" view="pageBreakPreview" zoomScaleSheetLayoutView="100" zoomScalePageLayoutView="0" workbookViewId="0" topLeftCell="A1">
      <pane xSplit="3" ySplit="6" topLeftCell="D7" activePane="bottomRight" state="frozen"/>
      <selection pane="topLeft" activeCell="M109" sqref="M109"/>
      <selection pane="topRight" activeCell="M109" sqref="M109"/>
      <selection pane="bottomLeft" activeCell="M109" sqref="M109"/>
      <selection pane="bottomRight" activeCell="A5" sqref="A5"/>
    </sheetView>
  </sheetViews>
  <sheetFormatPr defaultColWidth="9.140625" defaultRowHeight="12.75"/>
  <cols>
    <col min="1" max="1" width="30.7109375" style="2" customWidth="1"/>
    <col min="2" max="2" width="1.7109375" style="2" customWidth="1"/>
    <col min="3" max="3" width="10.7109375" style="2" customWidth="1"/>
    <col min="4" max="4" width="1.7109375" style="2" customWidth="1"/>
    <col min="5" max="5" width="11.7109375" style="2" customWidth="1"/>
    <col min="6" max="6" width="1.7109375" style="2" customWidth="1"/>
    <col min="7" max="7" width="11.7109375" style="2" customWidth="1"/>
    <col min="8" max="8" width="1.7109375" style="2" customWidth="1"/>
    <col min="9" max="9" width="11.7109375" style="2" customWidth="1"/>
    <col min="10" max="10" width="1.7109375" style="2" customWidth="1"/>
    <col min="11" max="11" width="11.7109375" style="2" customWidth="1"/>
    <col min="12" max="12" width="1.7109375" style="2" customWidth="1"/>
    <col min="13" max="13" width="11.7109375" style="2" customWidth="1"/>
    <col min="14" max="14" width="1.7109375" style="2" customWidth="1"/>
    <col min="15" max="15" width="11.7109375" style="2" customWidth="1"/>
    <col min="16" max="16" width="1.7109375" style="2" customWidth="1"/>
    <col min="17" max="17" width="11.7109375" style="2" customWidth="1"/>
    <col min="18" max="18" width="1.7109375" style="2" customWidth="1"/>
    <col min="19" max="19" width="11.7109375" style="2" customWidth="1"/>
    <col min="20" max="20" width="1.7109375" style="2" customWidth="1"/>
    <col min="21" max="21" width="11.7109375" style="2" customWidth="1"/>
    <col min="22" max="22" width="1.7109375" style="2" customWidth="1"/>
    <col min="23" max="23" width="11.7109375" style="2" customWidth="1"/>
    <col min="24" max="24" width="1.7109375" style="2" customWidth="1"/>
    <col min="25" max="25" width="11.7109375" style="2" customWidth="1"/>
    <col min="26" max="26" width="1.7109375" style="2" customWidth="1"/>
    <col min="27" max="27" width="11.7109375" style="2" customWidth="1"/>
    <col min="28" max="28" width="1.7109375" style="2" customWidth="1"/>
    <col min="29" max="29" width="13.7109375" style="2" customWidth="1"/>
    <col min="30" max="16384" width="9.140625" style="2" customWidth="1"/>
  </cols>
  <sheetData>
    <row r="1" ht="12">
      <c r="A1" s="2" t="s">
        <v>628</v>
      </c>
    </row>
    <row r="2" ht="12">
      <c r="A2" s="2" t="s">
        <v>490</v>
      </c>
    </row>
    <row r="3" s="7" customFormat="1" ht="12">
      <c r="A3" s="29" t="s">
        <v>8</v>
      </c>
    </row>
    <row r="4" spans="7:27" s="7" customFormat="1" ht="12">
      <c r="G4" s="7" t="s">
        <v>369</v>
      </c>
      <c r="I4" s="7" t="s">
        <v>371</v>
      </c>
      <c r="K4" s="7" t="s">
        <v>9</v>
      </c>
      <c r="U4" s="7" t="s">
        <v>378</v>
      </c>
      <c r="AA4" s="7" t="s">
        <v>0</v>
      </c>
    </row>
    <row r="5" spans="7:27" s="7" customFormat="1" ht="12">
      <c r="G5" s="7" t="s">
        <v>370</v>
      </c>
      <c r="I5" s="7" t="s">
        <v>372</v>
      </c>
      <c r="K5" s="7" t="s">
        <v>373</v>
      </c>
      <c r="Q5" s="7" t="s">
        <v>31</v>
      </c>
      <c r="S5" s="7" t="s">
        <v>376</v>
      </c>
      <c r="U5" s="7" t="s">
        <v>379</v>
      </c>
      <c r="AA5" s="7" t="s">
        <v>340</v>
      </c>
    </row>
    <row r="6" spans="1:29" s="7" customFormat="1" ht="12" customHeight="1">
      <c r="A6" s="1" t="s">
        <v>9</v>
      </c>
      <c r="B6" s="5"/>
      <c r="C6" s="1" t="s">
        <v>7</v>
      </c>
      <c r="D6" s="5"/>
      <c r="E6" s="1" t="s">
        <v>3</v>
      </c>
      <c r="F6" s="5"/>
      <c r="G6" s="1" t="s">
        <v>4</v>
      </c>
      <c r="H6" s="5"/>
      <c r="I6" s="1" t="s">
        <v>30</v>
      </c>
      <c r="J6" s="5"/>
      <c r="K6" s="1" t="s">
        <v>374</v>
      </c>
      <c r="L6" s="5"/>
      <c r="M6" s="1" t="s">
        <v>5</v>
      </c>
      <c r="N6" s="5"/>
      <c r="O6" s="1" t="s">
        <v>0</v>
      </c>
      <c r="P6" s="5"/>
      <c r="Q6" s="1" t="s">
        <v>375</v>
      </c>
      <c r="R6" s="5"/>
      <c r="S6" s="1" t="s">
        <v>377</v>
      </c>
      <c r="T6" s="5"/>
      <c r="U6" s="1" t="s">
        <v>380</v>
      </c>
      <c r="V6" s="5"/>
      <c r="W6" s="1" t="s">
        <v>606</v>
      </c>
      <c r="X6" s="5"/>
      <c r="Y6" s="1" t="s">
        <v>607</v>
      </c>
      <c r="Z6" s="5"/>
      <c r="AA6" s="1" t="s">
        <v>381</v>
      </c>
      <c r="AB6" s="5"/>
      <c r="AC6" s="6" t="s">
        <v>29</v>
      </c>
    </row>
    <row r="7" spans="1:29" ht="12" hidden="1">
      <c r="A7" s="2" t="s">
        <v>76</v>
      </c>
      <c r="C7" s="2" t="s">
        <v>64</v>
      </c>
      <c r="E7" s="4">
        <v>0</v>
      </c>
      <c r="F7" s="4"/>
      <c r="G7" s="4">
        <v>0</v>
      </c>
      <c r="H7" s="4"/>
      <c r="I7" s="4">
        <v>0</v>
      </c>
      <c r="J7" s="4"/>
      <c r="K7" s="4">
        <v>0</v>
      </c>
      <c r="L7" s="4"/>
      <c r="M7" s="4">
        <v>0</v>
      </c>
      <c r="N7" s="4"/>
      <c r="O7" s="4">
        <v>0</v>
      </c>
      <c r="P7" s="4"/>
      <c r="Q7" s="4">
        <v>0</v>
      </c>
      <c r="R7" s="4"/>
      <c r="S7" s="4">
        <v>0</v>
      </c>
      <c r="T7" s="4"/>
      <c r="U7" s="4">
        <v>0</v>
      </c>
      <c r="V7" s="4"/>
      <c r="W7" s="4">
        <v>0</v>
      </c>
      <c r="X7" s="4"/>
      <c r="Y7" s="4">
        <v>0</v>
      </c>
      <c r="Z7" s="4"/>
      <c r="AA7" s="4">
        <v>0</v>
      </c>
      <c r="AB7" s="4"/>
      <c r="AC7" s="4">
        <f>SUM(E7:AA7)</f>
        <v>0</v>
      </c>
    </row>
    <row r="8" spans="1:29" ht="12" hidden="1">
      <c r="A8" s="2" t="s">
        <v>77</v>
      </c>
      <c r="C8" s="2" t="s">
        <v>43</v>
      </c>
      <c r="E8" s="3">
        <v>0</v>
      </c>
      <c r="F8" s="3"/>
      <c r="G8" s="3">
        <v>0</v>
      </c>
      <c r="H8" s="3"/>
      <c r="I8" s="3">
        <v>0</v>
      </c>
      <c r="J8" s="3"/>
      <c r="K8" s="3">
        <v>0</v>
      </c>
      <c r="L8" s="3"/>
      <c r="M8" s="3">
        <v>0</v>
      </c>
      <c r="N8" s="3"/>
      <c r="O8" s="3">
        <v>0</v>
      </c>
      <c r="P8" s="3"/>
      <c r="Q8" s="3">
        <v>0</v>
      </c>
      <c r="R8" s="3"/>
      <c r="S8" s="3">
        <v>0</v>
      </c>
      <c r="T8" s="3"/>
      <c r="U8" s="3">
        <v>0</v>
      </c>
      <c r="V8" s="3"/>
      <c r="W8" s="3">
        <v>0</v>
      </c>
      <c r="X8" s="3"/>
      <c r="Y8" s="3">
        <v>0</v>
      </c>
      <c r="Z8" s="3"/>
      <c r="AA8" s="3">
        <v>0</v>
      </c>
      <c r="AC8" s="3">
        <f>SUM(E8:AA8)</f>
        <v>0</v>
      </c>
    </row>
    <row r="9" spans="1:29" s="4" customFormat="1" ht="12">
      <c r="A9" s="4" t="s">
        <v>76</v>
      </c>
      <c r="C9" s="4" t="s">
        <v>64</v>
      </c>
      <c r="E9" s="4">
        <v>151391.61</v>
      </c>
      <c r="G9" s="4">
        <v>46880.03</v>
      </c>
      <c r="I9" s="4">
        <v>47240.9</v>
      </c>
      <c r="K9" s="4">
        <v>33713.29</v>
      </c>
      <c r="M9" s="4">
        <v>6791.65</v>
      </c>
      <c r="O9" s="4">
        <v>1496</v>
      </c>
      <c r="Q9" s="4">
        <v>167463.63</v>
      </c>
      <c r="S9" s="4">
        <v>0</v>
      </c>
      <c r="U9" s="4">
        <v>0</v>
      </c>
      <c r="W9" s="4">
        <v>30000</v>
      </c>
      <c r="Y9" s="4">
        <v>0</v>
      </c>
      <c r="AA9" s="4">
        <v>0</v>
      </c>
      <c r="AC9" s="4">
        <f>SUM(E9:AA9)</f>
        <v>484977.11</v>
      </c>
    </row>
    <row r="10" spans="1:29" s="3" customFormat="1" ht="12" hidden="1">
      <c r="A10" s="3" t="s">
        <v>74</v>
      </c>
      <c r="C10" s="3" t="s">
        <v>44</v>
      </c>
      <c r="E10" s="3">
        <v>0</v>
      </c>
      <c r="G10" s="3">
        <v>0</v>
      </c>
      <c r="I10" s="3">
        <v>0</v>
      </c>
      <c r="K10" s="3">
        <v>0</v>
      </c>
      <c r="M10" s="3">
        <v>0</v>
      </c>
      <c r="O10" s="3">
        <v>0</v>
      </c>
      <c r="Q10" s="3">
        <v>0</v>
      </c>
      <c r="S10" s="3">
        <v>0</v>
      </c>
      <c r="U10" s="3">
        <v>0</v>
      </c>
      <c r="W10" s="3">
        <v>0</v>
      </c>
      <c r="Y10" s="3">
        <v>0</v>
      </c>
      <c r="AA10" s="3">
        <v>0</v>
      </c>
      <c r="AC10" s="3">
        <f>SUM(E10:AA10)</f>
        <v>0</v>
      </c>
    </row>
    <row r="11" spans="1:29" s="9" customFormat="1" ht="12" hidden="1">
      <c r="A11" s="9" t="s">
        <v>78</v>
      </c>
      <c r="C11" s="9" t="s">
        <v>64</v>
      </c>
      <c r="E11" s="3">
        <v>0</v>
      </c>
      <c r="F11" s="3"/>
      <c r="G11" s="3">
        <v>0</v>
      </c>
      <c r="H11" s="3"/>
      <c r="I11" s="3">
        <v>0</v>
      </c>
      <c r="J11" s="3"/>
      <c r="K11" s="3">
        <v>0</v>
      </c>
      <c r="L11" s="3"/>
      <c r="M11" s="3">
        <v>0</v>
      </c>
      <c r="N11" s="3"/>
      <c r="O11" s="3">
        <v>0</v>
      </c>
      <c r="P11" s="3"/>
      <c r="Q11" s="3">
        <v>0</v>
      </c>
      <c r="R11" s="3"/>
      <c r="S11" s="3">
        <v>0</v>
      </c>
      <c r="T11" s="3"/>
      <c r="U11" s="3">
        <v>0</v>
      </c>
      <c r="V11" s="3"/>
      <c r="W11" s="3">
        <v>0</v>
      </c>
      <c r="X11" s="3"/>
      <c r="Y11" s="3">
        <v>0</v>
      </c>
      <c r="Z11" s="3"/>
      <c r="AA11" s="3">
        <v>0</v>
      </c>
      <c r="AC11" s="9">
        <f>SUM(E11:AA11)</f>
        <v>0</v>
      </c>
    </row>
    <row r="12" spans="1:27" s="9" customFormat="1" ht="12" hidden="1">
      <c r="A12" s="9" t="s">
        <v>492</v>
      </c>
      <c r="C12" s="9" t="s">
        <v>104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9" s="9" customFormat="1" ht="12" hidden="1">
      <c r="A13" s="9" t="s">
        <v>79</v>
      </c>
      <c r="C13" s="9" t="s">
        <v>60</v>
      </c>
      <c r="E13" s="3">
        <v>0</v>
      </c>
      <c r="F13" s="3"/>
      <c r="G13" s="3">
        <v>0</v>
      </c>
      <c r="H13" s="3"/>
      <c r="I13" s="3">
        <v>0</v>
      </c>
      <c r="J13" s="3"/>
      <c r="K13" s="3">
        <v>0</v>
      </c>
      <c r="L13" s="3"/>
      <c r="M13" s="3">
        <v>0</v>
      </c>
      <c r="N13" s="3"/>
      <c r="O13" s="3">
        <v>0</v>
      </c>
      <c r="P13" s="3"/>
      <c r="Q13" s="3">
        <v>0</v>
      </c>
      <c r="R13" s="3"/>
      <c r="S13" s="3">
        <v>0</v>
      </c>
      <c r="T13" s="3"/>
      <c r="U13" s="3">
        <v>0</v>
      </c>
      <c r="V13" s="3"/>
      <c r="W13" s="3">
        <v>0</v>
      </c>
      <c r="X13" s="3"/>
      <c r="Y13" s="3">
        <v>0</v>
      </c>
      <c r="Z13" s="3"/>
      <c r="AA13" s="3">
        <v>0</v>
      </c>
      <c r="AC13" s="9">
        <f aca="true" t="shared" si="0" ref="AC13:AC44">SUM(E13:AA13)</f>
        <v>0</v>
      </c>
    </row>
    <row r="14" spans="1:54" s="9" customFormat="1" ht="12">
      <c r="A14" s="3" t="s">
        <v>77</v>
      </c>
      <c r="B14" s="3"/>
      <c r="C14" s="3" t="s">
        <v>43</v>
      </c>
      <c r="D14" s="3"/>
      <c r="E14" s="3">
        <v>531027.46</v>
      </c>
      <c r="F14" s="3"/>
      <c r="G14" s="3">
        <v>126052.78</v>
      </c>
      <c r="H14" s="3"/>
      <c r="I14" s="3">
        <v>122100.84</v>
      </c>
      <c r="J14" s="3"/>
      <c r="K14" s="3">
        <v>146507.76</v>
      </c>
      <c r="L14" s="3"/>
      <c r="M14" s="3">
        <v>20741.08</v>
      </c>
      <c r="N14" s="3"/>
      <c r="O14" s="3">
        <v>5227.81</v>
      </c>
      <c r="P14" s="3"/>
      <c r="Q14" s="3">
        <v>23191.67</v>
      </c>
      <c r="R14" s="3"/>
      <c r="S14" s="3">
        <v>0</v>
      </c>
      <c r="T14" s="3"/>
      <c r="U14" s="3">
        <v>0</v>
      </c>
      <c r="V14" s="3"/>
      <c r="W14" s="3">
        <v>20000</v>
      </c>
      <c r="X14" s="3"/>
      <c r="Y14" s="3">
        <v>0</v>
      </c>
      <c r="Z14" s="3"/>
      <c r="AA14" s="3">
        <v>0</v>
      </c>
      <c r="AB14" s="3"/>
      <c r="AC14" s="3">
        <f t="shared" si="0"/>
        <v>994849.4</v>
      </c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:54" s="9" customFormat="1" ht="12">
      <c r="A15" s="16" t="s">
        <v>491</v>
      </c>
      <c r="B15" s="16"/>
      <c r="C15" s="16" t="s">
        <v>23</v>
      </c>
      <c r="D15" s="3"/>
      <c r="E15" s="3">
        <v>3117549</v>
      </c>
      <c r="F15" s="3"/>
      <c r="G15" s="3">
        <v>0</v>
      </c>
      <c r="H15" s="3"/>
      <c r="I15" s="3">
        <f>36006424-3693601-3117549</f>
        <v>29195274</v>
      </c>
      <c r="J15" s="3"/>
      <c r="K15" s="3">
        <v>0</v>
      </c>
      <c r="L15" s="3"/>
      <c r="M15" s="3">
        <v>0</v>
      </c>
      <c r="N15" s="3"/>
      <c r="O15" s="3">
        <v>0</v>
      </c>
      <c r="P15" s="3"/>
      <c r="Q15" s="3">
        <v>3693601</v>
      </c>
      <c r="R15" s="3"/>
      <c r="S15" s="3">
        <v>0</v>
      </c>
      <c r="T15" s="3"/>
      <c r="U15" s="3">
        <v>0</v>
      </c>
      <c r="V15" s="3"/>
      <c r="W15" s="3">
        <v>638000</v>
      </c>
      <c r="X15" s="3"/>
      <c r="Y15" s="3">
        <v>0</v>
      </c>
      <c r="Z15" s="3"/>
      <c r="AA15" s="3">
        <v>0</v>
      </c>
      <c r="AB15" s="3"/>
      <c r="AC15" s="3">
        <f t="shared" si="0"/>
        <v>36644424</v>
      </c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29" s="9" customFormat="1" ht="12" hidden="1">
      <c r="A16" s="9" t="s">
        <v>83</v>
      </c>
      <c r="C16" s="9" t="s">
        <v>84</v>
      </c>
      <c r="E16" s="3">
        <v>0</v>
      </c>
      <c r="F16" s="3"/>
      <c r="G16" s="3">
        <v>0</v>
      </c>
      <c r="H16" s="3"/>
      <c r="I16" s="3">
        <v>0</v>
      </c>
      <c r="J16" s="3"/>
      <c r="K16" s="3">
        <v>0</v>
      </c>
      <c r="L16" s="3"/>
      <c r="M16" s="3">
        <v>0</v>
      </c>
      <c r="N16" s="3"/>
      <c r="O16" s="3">
        <v>0</v>
      </c>
      <c r="P16" s="3"/>
      <c r="Q16" s="3">
        <v>0</v>
      </c>
      <c r="R16" s="3"/>
      <c r="S16" s="3">
        <v>0</v>
      </c>
      <c r="T16" s="3"/>
      <c r="U16" s="3">
        <v>0</v>
      </c>
      <c r="V16" s="3"/>
      <c r="W16" s="3">
        <v>0</v>
      </c>
      <c r="X16" s="3"/>
      <c r="Y16" s="3">
        <v>0</v>
      </c>
      <c r="Z16" s="3"/>
      <c r="AA16" s="3">
        <v>0</v>
      </c>
      <c r="AC16" s="9">
        <f t="shared" si="0"/>
        <v>0</v>
      </c>
    </row>
    <row r="17" spans="1:29" s="9" customFormat="1" ht="12" hidden="1">
      <c r="A17" s="9" t="s">
        <v>85</v>
      </c>
      <c r="C17" s="9" t="s">
        <v>45</v>
      </c>
      <c r="E17" s="3">
        <v>0</v>
      </c>
      <c r="F17" s="3"/>
      <c r="G17" s="3">
        <v>0</v>
      </c>
      <c r="H17" s="3"/>
      <c r="I17" s="3">
        <v>0</v>
      </c>
      <c r="J17" s="3"/>
      <c r="K17" s="3">
        <v>0</v>
      </c>
      <c r="L17" s="3"/>
      <c r="M17" s="3">
        <v>0</v>
      </c>
      <c r="N17" s="3"/>
      <c r="O17" s="3">
        <v>0</v>
      </c>
      <c r="P17" s="3"/>
      <c r="Q17" s="3">
        <v>0</v>
      </c>
      <c r="R17" s="3"/>
      <c r="S17" s="3">
        <v>0</v>
      </c>
      <c r="T17" s="3"/>
      <c r="U17" s="3">
        <v>0</v>
      </c>
      <c r="V17" s="3"/>
      <c r="W17" s="3">
        <v>0</v>
      </c>
      <c r="X17" s="3"/>
      <c r="Y17" s="3">
        <v>0</v>
      </c>
      <c r="Z17" s="3"/>
      <c r="AA17" s="3">
        <v>0</v>
      </c>
      <c r="AC17" s="9">
        <f t="shared" si="0"/>
        <v>0</v>
      </c>
    </row>
    <row r="18" spans="1:54" s="9" customFormat="1" ht="12">
      <c r="A18" s="3" t="s">
        <v>611</v>
      </c>
      <c r="B18" s="3"/>
      <c r="C18" s="3" t="s">
        <v>44</v>
      </c>
      <c r="D18" s="3"/>
      <c r="E18" s="3">
        <v>160242.59</v>
      </c>
      <c r="F18" s="3"/>
      <c r="G18" s="3">
        <v>24405</v>
      </c>
      <c r="H18" s="3"/>
      <c r="I18" s="3">
        <v>49674.69</v>
      </c>
      <c r="J18" s="3"/>
      <c r="K18" s="3">
        <v>72839.26</v>
      </c>
      <c r="L18" s="3"/>
      <c r="M18" s="3">
        <v>7718.73</v>
      </c>
      <c r="N18" s="3"/>
      <c r="O18" s="3">
        <v>3322.84</v>
      </c>
      <c r="P18" s="3"/>
      <c r="Q18" s="3">
        <v>27553.63</v>
      </c>
      <c r="R18" s="3"/>
      <c r="S18" s="3">
        <v>0</v>
      </c>
      <c r="T18" s="3"/>
      <c r="U18" s="3">
        <v>0</v>
      </c>
      <c r="V18" s="3"/>
      <c r="W18" s="3">
        <v>50000</v>
      </c>
      <c r="X18" s="3"/>
      <c r="Y18" s="3">
        <v>0</v>
      </c>
      <c r="Z18" s="3"/>
      <c r="AA18" s="3">
        <v>0</v>
      </c>
      <c r="AB18" s="3"/>
      <c r="AC18" s="3">
        <f t="shared" si="0"/>
        <v>395756.74</v>
      </c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29" s="9" customFormat="1" ht="12" hidden="1">
      <c r="A19" s="9" t="s">
        <v>401</v>
      </c>
      <c r="C19" s="9" t="s">
        <v>46</v>
      </c>
      <c r="E19" s="3">
        <v>0</v>
      </c>
      <c r="F19" s="3"/>
      <c r="G19" s="3">
        <v>0</v>
      </c>
      <c r="H19" s="3"/>
      <c r="I19" s="3">
        <v>0</v>
      </c>
      <c r="J19" s="3"/>
      <c r="K19" s="3">
        <v>0</v>
      </c>
      <c r="L19" s="3"/>
      <c r="M19" s="3">
        <v>0</v>
      </c>
      <c r="N19" s="3"/>
      <c r="O19" s="3">
        <v>0</v>
      </c>
      <c r="P19" s="3"/>
      <c r="Q19" s="3">
        <v>0</v>
      </c>
      <c r="R19" s="3"/>
      <c r="S19" s="3">
        <v>0</v>
      </c>
      <c r="T19" s="3"/>
      <c r="U19" s="3">
        <v>0</v>
      </c>
      <c r="V19" s="3"/>
      <c r="W19" s="3">
        <v>0</v>
      </c>
      <c r="X19" s="3"/>
      <c r="Y19" s="3">
        <v>0</v>
      </c>
      <c r="Z19" s="3"/>
      <c r="AA19" s="3">
        <v>0</v>
      </c>
      <c r="AC19" s="9">
        <f t="shared" si="0"/>
        <v>0</v>
      </c>
    </row>
    <row r="20" spans="1:29" s="9" customFormat="1" ht="12" hidden="1">
      <c r="A20" s="9" t="s">
        <v>89</v>
      </c>
      <c r="C20" s="9" t="s">
        <v>47</v>
      </c>
      <c r="E20" s="3">
        <v>0</v>
      </c>
      <c r="F20" s="3"/>
      <c r="G20" s="3">
        <v>0</v>
      </c>
      <c r="H20" s="3"/>
      <c r="I20" s="3">
        <v>0</v>
      </c>
      <c r="J20" s="3"/>
      <c r="K20" s="3">
        <v>0</v>
      </c>
      <c r="L20" s="3"/>
      <c r="M20" s="3">
        <v>0</v>
      </c>
      <c r="N20" s="3"/>
      <c r="O20" s="3">
        <v>0</v>
      </c>
      <c r="P20" s="3"/>
      <c r="Q20" s="3">
        <v>0</v>
      </c>
      <c r="R20" s="3"/>
      <c r="S20" s="3">
        <v>0</v>
      </c>
      <c r="T20" s="3"/>
      <c r="U20" s="3">
        <v>0</v>
      </c>
      <c r="V20" s="3"/>
      <c r="W20" s="3">
        <v>0</v>
      </c>
      <c r="X20" s="3"/>
      <c r="Y20" s="3">
        <v>0</v>
      </c>
      <c r="Z20" s="3"/>
      <c r="AA20" s="3">
        <v>0</v>
      </c>
      <c r="AC20" s="9">
        <f t="shared" si="0"/>
        <v>0</v>
      </c>
    </row>
    <row r="21" spans="1:54" s="9" customFormat="1" ht="12">
      <c r="A21" s="3" t="s">
        <v>78</v>
      </c>
      <c r="B21" s="3"/>
      <c r="C21" s="3" t="s">
        <v>64</v>
      </c>
      <c r="D21" s="3"/>
      <c r="E21" s="3">
        <v>29425.63</v>
      </c>
      <c r="F21" s="3"/>
      <c r="G21" s="3">
        <v>4721.09</v>
      </c>
      <c r="H21" s="3"/>
      <c r="I21" s="3">
        <v>13906.19</v>
      </c>
      <c r="J21" s="3"/>
      <c r="K21" s="3">
        <v>12946.5</v>
      </c>
      <c r="L21" s="3"/>
      <c r="M21" s="3">
        <v>2052.03</v>
      </c>
      <c r="N21" s="3"/>
      <c r="O21" s="3">
        <v>2053.38</v>
      </c>
      <c r="P21" s="3"/>
      <c r="Q21" s="3">
        <v>21938.51</v>
      </c>
      <c r="R21" s="3"/>
      <c r="S21" s="3">
        <v>0</v>
      </c>
      <c r="T21" s="3"/>
      <c r="U21" s="3">
        <v>0</v>
      </c>
      <c r="V21" s="3"/>
      <c r="W21" s="3">
        <v>0</v>
      </c>
      <c r="X21" s="3"/>
      <c r="Y21" s="3">
        <v>0</v>
      </c>
      <c r="Z21" s="3"/>
      <c r="AA21" s="3">
        <v>533.65</v>
      </c>
      <c r="AB21" s="3"/>
      <c r="AC21" s="3">
        <f t="shared" si="0"/>
        <v>87576.98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4" s="42" customFormat="1" ht="12" hidden="1">
      <c r="A22" s="9" t="s">
        <v>411</v>
      </c>
      <c r="B22" s="9"/>
      <c r="C22" s="9" t="s">
        <v>488</v>
      </c>
      <c r="D22" s="9"/>
      <c r="E22" s="3">
        <v>0</v>
      </c>
      <c r="F22" s="3"/>
      <c r="G22" s="3">
        <v>0</v>
      </c>
      <c r="H22" s="3"/>
      <c r="I22" s="3">
        <v>0</v>
      </c>
      <c r="J22" s="3"/>
      <c r="K22" s="3">
        <v>0</v>
      </c>
      <c r="L22" s="3"/>
      <c r="M22" s="3">
        <v>0</v>
      </c>
      <c r="N22" s="3"/>
      <c r="O22" s="3">
        <v>0</v>
      </c>
      <c r="P22" s="3"/>
      <c r="Q22" s="3">
        <v>0</v>
      </c>
      <c r="R22" s="3"/>
      <c r="S22" s="3">
        <v>0</v>
      </c>
      <c r="T22" s="3"/>
      <c r="U22" s="3">
        <v>0</v>
      </c>
      <c r="V22" s="3"/>
      <c r="W22" s="3">
        <v>0</v>
      </c>
      <c r="X22" s="3"/>
      <c r="Y22" s="3">
        <v>0</v>
      </c>
      <c r="Z22" s="3"/>
      <c r="AA22" s="3">
        <v>0</v>
      </c>
      <c r="AB22" s="41"/>
      <c r="AC22" s="9">
        <f t="shared" si="0"/>
        <v>0</v>
      </c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</row>
    <row r="23" spans="1:54" s="9" customFormat="1" ht="12">
      <c r="A23" s="3" t="s">
        <v>513</v>
      </c>
      <c r="B23" s="3"/>
      <c r="C23" s="3" t="s">
        <v>60</v>
      </c>
      <c r="D23" s="3"/>
      <c r="E23" s="3">
        <v>506573.77</v>
      </c>
      <c r="F23" s="3"/>
      <c r="G23" s="3">
        <v>106393.76</v>
      </c>
      <c r="H23" s="3"/>
      <c r="I23" s="3">
        <v>175651.12</v>
      </c>
      <c r="J23" s="3"/>
      <c r="K23" s="3">
        <v>202673.21</v>
      </c>
      <c r="L23" s="3"/>
      <c r="M23" s="3">
        <v>24153.93</v>
      </c>
      <c r="N23" s="3"/>
      <c r="O23" s="3">
        <v>7762.3</v>
      </c>
      <c r="P23" s="3"/>
      <c r="Q23" s="3">
        <v>45226.67</v>
      </c>
      <c r="R23" s="3"/>
      <c r="S23" s="3">
        <v>0</v>
      </c>
      <c r="T23" s="3"/>
      <c r="U23" s="3">
        <v>0</v>
      </c>
      <c r="V23" s="3"/>
      <c r="W23" s="3">
        <v>158490.76</v>
      </c>
      <c r="X23" s="3"/>
      <c r="Y23" s="3">
        <v>0</v>
      </c>
      <c r="Z23" s="3"/>
      <c r="AA23" s="3">
        <v>0</v>
      </c>
      <c r="AB23" s="3"/>
      <c r="AC23" s="3">
        <f t="shared" si="0"/>
        <v>1226925.52</v>
      </c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29" s="9" customFormat="1" ht="12" hidden="1">
      <c r="A24" s="9" t="s">
        <v>91</v>
      </c>
      <c r="C24" s="9" t="s">
        <v>14</v>
      </c>
      <c r="E24" s="3">
        <v>0</v>
      </c>
      <c r="F24" s="3"/>
      <c r="G24" s="3">
        <v>0</v>
      </c>
      <c r="H24" s="3"/>
      <c r="I24" s="3">
        <v>0</v>
      </c>
      <c r="J24" s="3"/>
      <c r="K24" s="3">
        <v>0</v>
      </c>
      <c r="L24" s="3"/>
      <c r="M24" s="3">
        <v>0</v>
      </c>
      <c r="N24" s="3"/>
      <c r="O24" s="3">
        <v>0</v>
      </c>
      <c r="P24" s="3"/>
      <c r="Q24" s="3">
        <v>0</v>
      </c>
      <c r="R24" s="3"/>
      <c r="S24" s="3">
        <v>0</v>
      </c>
      <c r="T24" s="3"/>
      <c r="U24" s="3">
        <v>0</v>
      </c>
      <c r="V24" s="3"/>
      <c r="W24" s="3">
        <v>0</v>
      </c>
      <c r="X24" s="3"/>
      <c r="Y24" s="3">
        <v>0</v>
      </c>
      <c r="Z24" s="3"/>
      <c r="AA24" s="3">
        <v>0</v>
      </c>
      <c r="AC24" s="9">
        <f t="shared" si="0"/>
        <v>0</v>
      </c>
    </row>
    <row r="25" spans="1:29" s="9" customFormat="1" ht="12">
      <c r="A25" s="9" t="s">
        <v>80</v>
      </c>
      <c r="C25" s="9" t="s">
        <v>81</v>
      </c>
      <c r="E25" s="3">
        <v>899196</v>
      </c>
      <c r="F25" s="3"/>
      <c r="G25" s="3">
        <v>243203</v>
      </c>
      <c r="H25" s="3"/>
      <c r="I25" s="3">
        <v>339356</v>
      </c>
      <c r="J25" s="3"/>
      <c r="K25" s="3">
        <v>341867</v>
      </c>
      <c r="L25" s="3"/>
      <c r="M25" s="3">
        <v>68911</v>
      </c>
      <c r="N25" s="3"/>
      <c r="O25" s="3">
        <v>37792</v>
      </c>
      <c r="P25" s="3"/>
      <c r="Q25" s="3">
        <v>268086</v>
      </c>
      <c r="R25" s="3"/>
      <c r="S25" s="3">
        <v>0</v>
      </c>
      <c r="T25" s="3"/>
      <c r="U25" s="3">
        <v>0</v>
      </c>
      <c r="V25" s="3"/>
      <c r="W25" s="3">
        <v>0</v>
      </c>
      <c r="X25" s="3"/>
      <c r="Y25" s="3">
        <v>0</v>
      </c>
      <c r="Z25" s="3"/>
      <c r="AA25" s="3">
        <v>0</v>
      </c>
      <c r="AC25" s="9">
        <f t="shared" si="0"/>
        <v>2198411</v>
      </c>
    </row>
    <row r="26" spans="1:29" s="9" customFormat="1" ht="12">
      <c r="A26" s="9" t="s">
        <v>82</v>
      </c>
      <c r="C26" s="9" t="s">
        <v>46</v>
      </c>
      <c r="E26" s="3">
        <v>138901</v>
      </c>
      <c r="F26" s="3"/>
      <c r="G26" s="3">
        <v>50585</v>
      </c>
      <c r="H26" s="3"/>
      <c r="I26" s="3">
        <v>60933</v>
      </c>
      <c r="J26" s="3"/>
      <c r="K26" s="3">
        <v>29371</v>
      </c>
      <c r="L26" s="3"/>
      <c r="M26" s="3">
        <v>11255</v>
      </c>
      <c r="N26" s="3"/>
      <c r="O26" s="3">
        <v>3350</v>
      </c>
      <c r="P26" s="3"/>
      <c r="Q26" s="3">
        <v>31087</v>
      </c>
      <c r="R26" s="3"/>
      <c r="S26" s="3">
        <v>0</v>
      </c>
      <c r="T26" s="3"/>
      <c r="U26" s="3">
        <v>0</v>
      </c>
      <c r="V26" s="3"/>
      <c r="W26" s="3">
        <v>10001</v>
      </c>
      <c r="X26" s="3"/>
      <c r="Y26" s="3">
        <v>0</v>
      </c>
      <c r="Z26" s="3"/>
      <c r="AA26" s="3">
        <v>2817</v>
      </c>
      <c r="AC26" s="9">
        <f t="shared" si="0"/>
        <v>338300</v>
      </c>
    </row>
    <row r="27" spans="1:54" s="9" customFormat="1" ht="12">
      <c r="A27" s="3" t="s">
        <v>83</v>
      </c>
      <c r="B27" s="3"/>
      <c r="C27" s="3" t="s">
        <v>84</v>
      </c>
      <c r="D27" s="3"/>
      <c r="E27" s="3">
        <v>164734.14</v>
      </c>
      <c r="F27" s="3"/>
      <c r="G27" s="3">
        <v>25351.32</v>
      </c>
      <c r="H27" s="3"/>
      <c r="I27" s="3">
        <v>36176.63</v>
      </c>
      <c r="J27" s="3"/>
      <c r="K27" s="3">
        <v>62418.86</v>
      </c>
      <c r="L27" s="3"/>
      <c r="M27" s="3">
        <v>11622.86</v>
      </c>
      <c r="N27" s="3"/>
      <c r="O27" s="3">
        <v>1131</v>
      </c>
      <c r="P27" s="3"/>
      <c r="Q27" s="3">
        <v>38313.07</v>
      </c>
      <c r="R27" s="3"/>
      <c r="S27" s="3">
        <v>0</v>
      </c>
      <c r="T27" s="3"/>
      <c r="U27" s="3">
        <v>0</v>
      </c>
      <c r="V27" s="3"/>
      <c r="W27" s="3">
        <v>0</v>
      </c>
      <c r="X27" s="3"/>
      <c r="Y27" s="3">
        <v>0</v>
      </c>
      <c r="Z27" s="3"/>
      <c r="AA27" s="3">
        <v>0</v>
      </c>
      <c r="AB27" s="3"/>
      <c r="AC27" s="3">
        <f t="shared" si="0"/>
        <v>339747.88</v>
      </c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4" s="9" customFormat="1" ht="12">
      <c r="A28" s="3" t="s">
        <v>85</v>
      </c>
      <c r="B28" s="3"/>
      <c r="C28" s="3" t="s">
        <v>45</v>
      </c>
      <c r="D28" s="3"/>
      <c r="E28" s="3">
        <v>211836.22</v>
      </c>
      <c r="F28" s="3"/>
      <c r="G28" s="3">
        <v>65268.3</v>
      </c>
      <c r="H28" s="3"/>
      <c r="I28" s="3">
        <v>120407.02</v>
      </c>
      <c r="J28" s="3"/>
      <c r="K28" s="3">
        <v>48206.52</v>
      </c>
      <c r="L28" s="3"/>
      <c r="M28" s="3">
        <v>12513.74</v>
      </c>
      <c r="N28" s="3"/>
      <c r="O28" s="3">
        <v>950</v>
      </c>
      <c r="P28" s="3"/>
      <c r="Q28" s="3">
        <v>6803.45</v>
      </c>
      <c r="R28" s="3"/>
      <c r="S28" s="3">
        <v>0</v>
      </c>
      <c r="T28" s="3"/>
      <c r="U28" s="3">
        <v>0</v>
      </c>
      <c r="V28" s="3"/>
      <c r="W28" s="3">
        <v>42821.35</v>
      </c>
      <c r="X28" s="3"/>
      <c r="Y28" s="3">
        <v>0</v>
      </c>
      <c r="Z28" s="3"/>
      <c r="AA28" s="3">
        <v>10044</v>
      </c>
      <c r="AB28" s="3"/>
      <c r="AC28" s="3">
        <f t="shared" si="0"/>
        <v>518850.60000000003</v>
      </c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29" s="9" customFormat="1" ht="12">
      <c r="A29" s="9" t="s">
        <v>86</v>
      </c>
      <c r="C29" s="9" t="s">
        <v>87</v>
      </c>
      <c r="E29" s="3">
        <v>179180</v>
      </c>
      <c r="F29" s="3"/>
      <c r="G29" s="3">
        <v>0</v>
      </c>
      <c r="H29" s="3"/>
      <c r="I29" s="3">
        <f>1518890-113936-179180</f>
        <v>1225774</v>
      </c>
      <c r="J29" s="3"/>
      <c r="K29" s="3">
        <v>0</v>
      </c>
      <c r="L29" s="3"/>
      <c r="M29" s="3">
        <v>0</v>
      </c>
      <c r="N29" s="3"/>
      <c r="O29" s="3">
        <v>0</v>
      </c>
      <c r="P29" s="3"/>
      <c r="Q29" s="3">
        <v>113936</v>
      </c>
      <c r="R29" s="3"/>
      <c r="S29" s="3">
        <v>0</v>
      </c>
      <c r="T29" s="3"/>
      <c r="U29" s="3">
        <v>0</v>
      </c>
      <c r="V29" s="3"/>
      <c r="W29" s="3">
        <v>0</v>
      </c>
      <c r="X29" s="3"/>
      <c r="Y29" s="3">
        <v>0</v>
      </c>
      <c r="Z29" s="3"/>
      <c r="AA29" s="3">
        <v>0</v>
      </c>
      <c r="AC29" s="9">
        <f t="shared" si="0"/>
        <v>1518890</v>
      </c>
    </row>
    <row r="30" spans="1:54" s="9" customFormat="1" ht="12">
      <c r="A30" s="3" t="s">
        <v>383</v>
      </c>
      <c r="B30" s="3"/>
      <c r="C30" s="3" t="s">
        <v>46</v>
      </c>
      <c r="D30" s="3"/>
      <c r="E30" s="3">
        <v>772136.55</v>
      </c>
      <c r="F30" s="3"/>
      <c r="G30" s="3">
        <v>301557.12</v>
      </c>
      <c r="H30" s="3"/>
      <c r="I30" s="3">
        <v>276377.51</v>
      </c>
      <c r="J30" s="3"/>
      <c r="K30" s="3">
        <v>233190.72</v>
      </c>
      <c r="L30" s="3"/>
      <c r="M30" s="3">
        <v>47813.83</v>
      </c>
      <c r="N30" s="3"/>
      <c r="O30" s="3">
        <v>15891.55</v>
      </c>
      <c r="P30" s="3"/>
      <c r="Q30" s="3">
        <v>41500</v>
      </c>
      <c r="R30" s="3"/>
      <c r="S30" s="3">
        <v>16288.28</v>
      </c>
      <c r="T30" s="3"/>
      <c r="U30" s="3">
        <v>0</v>
      </c>
      <c r="V30" s="3"/>
      <c r="W30" s="3">
        <v>16290</v>
      </c>
      <c r="X30" s="3"/>
      <c r="Y30" s="3">
        <v>41300</v>
      </c>
      <c r="Z30" s="3"/>
      <c r="AA30" s="3">
        <v>6182</v>
      </c>
      <c r="AB30" s="3"/>
      <c r="AC30" s="3">
        <f t="shared" si="0"/>
        <v>1768527.56</v>
      </c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1:29" s="9" customFormat="1" ht="12" hidden="1">
      <c r="A31" s="9" t="s">
        <v>102</v>
      </c>
      <c r="C31" s="9" t="s">
        <v>48</v>
      </c>
      <c r="E31" s="3">
        <v>0</v>
      </c>
      <c r="F31" s="3"/>
      <c r="G31" s="3">
        <v>0</v>
      </c>
      <c r="H31" s="3"/>
      <c r="I31" s="3">
        <v>0</v>
      </c>
      <c r="J31" s="3"/>
      <c r="K31" s="3">
        <v>0</v>
      </c>
      <c r="L31" s="3"/>
      <c r="M31" s="3">
        <v>0</v>
      </c>
      <c r="N31" s="3"/>
      <c r="O31" s="3">
        <v>0</v>
      </c>
      <c r="P31" s="3"/>
      <c r="Q31" s="3">
        <v>0</v>
      </c>
      <c r="R31" s="3"/>
      <c r="S31" s="3">
        <v>0</v>
      </c>
      <c r="T31" s="3"/>
      <c r="U31" s="3">
        <v>0</v>
      </c>
      <c r="V31" s="3"/>
      <c r="W31" s="3">
        <v>0</v>
      </c>
      <c r="X31" s="3"/>
      <c r="Y31" s="3">
        <v>0</v>
      </c>
      <c r="Z31" s="3"/>
      <c r="AA31" s="3">
        <v>0</v>
      </c>
      <c r="AC31" s="9">
        <f t="shared" si="0"/>
        <v>0</v>
      </c>
    </row>
    <row r="32" spans="1:29" s="9" customFormat="1" ht="12" hidden="1">
      <c r="A32" s="9" t="s">
        <v>344</v>
      </c>
      <c r="C32" s="9" t="s">
        <v>104</v>
      </c>
      <c r="E32" s="3">
        <v>0</v>
      </c>
      <c r="F32" s="3"/>
      <c r="G32" s="3">
        <v>0</v>
      </c>
      <c r="H32" s="3"/>
      <c r="I32" s="3">
        <v>0</v>
      </c>
      <c r="J32" s="3"/>
      <c r="K32" s="3">
        <v>0</v>
      </c>
      <c r="L32" s="3"/>
      <c r="M32" s="3">
        <v>0</v>
      </c>
      <c r="N32" s="3"/>
      <c r="O32" s="3">
        <v>0</v>
      </c>
      <c r="P32" s="3"/>
      <c r="Q32" s="3">
        <v>0</v>
      </c>
      <c r="R32" s="3"/>
      <c r="S32" s="3">
        <v>0</v>
      </c>
      <c r="T32" s="3"/>
      <c r="U32" s="3">
        <v>0</v>
      </c>
      <c r="V32" s="3"/>
      <c r="W32" s="3">
        <v>0</v>
      </c>
      <c r="X32" s="3"/>
      <c r="Y32" s="3">
        <v>0</v>
      </c>
      <c r="Z32" s="3"/>
      <c r="AA32" s="3">
        <v>0</v>
      </c>
      <c r="AC32" s="9">
        <f t="shared" si="0"/>
        <v>0</v>
      </c>
    </row>
    <row r="33" spans="1:29" s="9" customFormat="1" ht="12" hidden="1">
      <c r="A33" s="9" t="s">
        <v>105</v>
      </c>
      <c r="C33" s="9" t="s">
        <v>49</v>
      </c>
      <c r="E33" s="3">
        <v>0</v>
      </c>
      <c r="F33" s="3"/>
      <c r="G33" s="3">
        <v>0</v>
      </c>
      <c r="H33" s="3"/>
      <c r="I33" s="3">
        <v>0</v>
      </c>
      <c r="J33" s="3"/>
      <c r="K33" s="3">
        <v>0</v>
      </c>
      <c r="L33" s="3"/>
      <c r="M33" s="3">
        <v>0</v>
      </c>
      <c r="N33" s="3"/>
      <c r="O33" s="3">
        <v>0</v>
      </c>
      <c r="P33" s="3"/>
      <c r="Q33" s="3">
        <v>0</v>
      </c>
      <c r="R33" s="3"/>
      <c r="S33" s="3">
        <v>0</v>
      </c>
      <c r="T33" s="3"/>
      <c r="U33" s="3">
        <v>0</v>
      </c>
      <c r="V33" s="3"/>
      <c r="W33" s="3">
        <v>0</v>
      </c>
      <c r="X33" s="3"/>
      <c r="Y33" s="3">
        <v>0</v>
      </c>
      <c r="Z33" s="3"/>
      <c r="AA33" s="3">
        <v>0</v>
      </c>
      <c r="AC33" s="9">
        <f t="shared" si="0"/>
        <v>0</v>
      </c>
    </row>
    <row r="34" spans="1:29" s="9" customFormat="1" ht="12" hidden="1">
      <c r="A34" s="9" t="s">
        <v>106</v>
      </c>
      <c r="C34" s="9" t="s">
        <v>56</v>
      </c>
      <c r="E34" s="3">
        <v>0</v>
      </c>
      <c r="F34" s="3"/>
      <c r="G34" s="3">
        <v>0</v>
      </c>
      <c r="H34" s="3"/>
      <c r="I34" s="3">
        <v>0</v>
      </c>
      <c r="J34" s="3"/>
      <c r="K34" s="3">
        <v>0</v>
      </c>
      <c r="L34" s="3"/>
      <c r="M34" s="3">
        <v>0</v>
      </c>
      <c r="N34" s="3"/>
      <c r="O34" s="3">
        <v>0</v>
      </c>
      <c r="P34" s="3"/>
      <c r="Q34" s="3">
        <v>0</v>
      </c>
      <c r="R34" s="3"/>
      <c r="S34" s="3">
        <v>0</v>
      </c>
      <c r="T34" s="3"/>
      <c r="U34" s="3">
        <v>0</v>
      </c>
      <c r="V34" s="3"/>
      <c r="W34" s="3">
        <v>0</v>
      </c>
      <c r="X34" s="3"/>
      <c r="Y34" s="3">
        <v>0</v>
      </c>
      <c r="Z34" s="3"/>
      <c r="AA34" s="3">
        <v>0</v>
      </c>
      <c r="AC34" s="9">
        <f t="shared" si="0"/>
        <v>0</v>
      </c>
    </row>
    <row r="35" spans="1:54" s="9" customFormat="1" ht="12">
      <c r="A35" s="3" t="s">
        <v>89</v>
      </c>
      <c r="B35" s="3"/>
      <c r="C35" s="3" t="s">
        <v>47</v>
      </c>
      <c r="D35" s="3"/>
      <c r="E35" s="3">
        <v>572760.55</v>
      </c>
      <c r="F35" s="3"/>
      <c r="G35" s="3">
        <v>147115.62</v>
      </c>
      <c r="H35" s="3"/>
      <c r="I35" s="3">
        <v>198548.75</v>
      </c>
      <c r="J35" s="3"/>
      <c r="K35" s="3">
        <v>217916.29</v>
      </c>
      <c r="L35" s="3"/>
      <c r="M35" s="3">
        <v>33106.1</v>
      </c>
      <c r="N35" s="3"/>
      <c r="O35" s="3">
        <v>7829.29</v>
      </c>
      <c r="P35" s="3"/>
      <c r="Q35" s="3">
        <v>61189.47</v>
      </c>
      <c r="R35" s="3"/>
      <c r="S35" s="3">
        <v>0</v>
      </c>
      <c r="T35" s="3"/>
      <c r="U35" s="3">
        <v>0</v>
      </c>
      <c r="V35" s="3"/>
      <c r="W35" s="3">
        <v>45000</v>
      </c>
      <c r="X35" s="3"/>
      <c r="Y35" s="3">
        <v>0</v>
      </c>
      <c r="Z35" s="3"/>
      <c r="AA35" s="3">
        <v>0</v>
      </c>
      <c r="AB35" s="3"/>
      <c r="AC35" s="3">
        <f t="shared" si="0"/>
        <v>1283466.07</v>
      </c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1:29" s="9" customFormat="1" ht="12">
      <c r="A36" s="9" t="s">
        <v>90</v>
      </c>
      <c r="C36" s="9" t="s">
        <v>60</v>
      </c>
      <c r="E36" s="3">
        <v>403583</v>
      </c>
      <c r="F36" s="3"/>
      <c r="G36" s="3">
        <v>0</v>
      </c>
      <c r="H36" s="3"/>
      <c r="I36" s="3">
        <f>2482492-92519-403583</f>
        <v>1986390</v>
      </c>
      <c r="J36" s="3"/>
      <c r="K36" s="3">
        <v>0</v>
      </c>
      <c r="L36" s="3"/>
      <c r="M36" s="3">
        <v>0</v>
      </c>
      <c r="N36" s="3"/>
      <c r="O36" s="3">
        <v>0</v>
      </c>
      <c r="P36" s="3"/>
      <c r="Q36" s="3">
        <v>92519</v>
      </c>
      <c r="R36" s="3"/>
      <c r="S36" s="3">
        <v>0</v>
      </c>
      <c r="T36" s="3"/>
      <c r="U36" s="3">
        <v>0</v>
      </c>
      <c r="V36" s="3"/>
      <c r="W36" s="3">
        <v>0</v>
      </c>
      <c r="X36" s="3"/>
      <c r="Y36" s="3">
        <v>0</v>
      </c>
      <c r="Z36" s="3"/>
      <c r="AA36" s="3">
        <v>0</v>
      </c>
      <c r="AC36" s="9">
        <f t="shared" si="0"/>
        <v>2482492</v>
      </c>
    </row>
    <row r="37" spans="1:54" s="9" customFormat="1" ht="12">
      <c r="A37" s="3" t="s">
        <v>514</v>
      </c>
      <c r="B37" s="3"/>
      <c r="C37" s="3" t="s">
        <v>23</v>
      </c>
      <c r="D37" s="3"/>
      <c r="E37" s="3">
        <v>739020.71</v>
      </c>
      <c r="F37" s="3"/>
      <c r="G37" s="3">
        <v>204336.67</v>
      </c>
      <c r="H37" s="3"/>
      <c r="I37" s="3">
        <v>292649.07</v>
      </c>
      <c r="J37" s="3"/>
      <c r="K37" s="3">
        <v>177235.08</v>
      </c>
      <c r="L37" s="3"/>
      <c r="M37" s="3">
        <v>18517.24</v>
      </c>
      <c r="N37" s="3"/>
      <c r="O37" s="3">
        <v>11641.02</v>
      </c>
      <c r="P37" s="3"/>
      <c r="Q37" s="3">
        <v>221546.31</v>
      </c>
      <c r="R37" s="3"/>
      <c r="S37" s="3">
        <v>0</v>
      </c>
      <c r="T37" s="3"/>
      <c r="U37" s="3">
        <v>0</v>
      </c>
      <c r="V37" s="3"/>
      <c r="W37" s="3">
        <v>211000</v>
      </c>
      <c r="X37" s="3"/>
      <c r="Y37" s="3">
        <v>0</v>
      </c>
      <c r="Z37" s="3"/>
      <c r="AA37" s="3">
        <v>0</v>
      </c>
      <c r="AB37" s="3"/>
      <c r="AC37" s="3">
        <f t="shared" si="0"/>
        <v>1875946.1</v>
      </c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1:29" s="9" customFormat="1" ht="12" hidden="1">
      <c r="A38" s="9" t="s">
        <v>111</v>
      </c>
      <c r="C38" s="9" t="s">
        <v>18</v>
      </c>
      <c r="E38" s="3">
        <v>0</v>
      </c>
      <c r="F38" s="3"/>
      <c r="G38" s="3">
        <v>0</v>
      </c>
      <c r="H38" s="3"/>
      <c r="I38" s="3">
        <v>0</v>
      </c>
      <c r="J38" s="3"/>
      <c r="K38" s="3">
        <v>0</v>
      </c>
      <c r="L38" s="3"/>
      <c r="M38" s="3">
        <v>0</v>
      </c>
      <c r="N38" s="3"/>
      <c r="O38" s="3">
        <v>0</v>
      </c>
      <c r="P38" s="3"/>
      <c r="Q38" s="3">
        <v>0</v>
      </c>
      <c r="R38" s="3"/>
      <c r="S38" s="3">
        <v>0</v>
      </c>
      <c r="T38" s="3"/>
      <c r="U38" s="3">
        <v>0</v>
      </c>
      <c r="V38" s="3"/>
      <c r="W38" s="3">
        <v>0</v>
      </c>
      <c r="X38" s="3"/>
      <c r="Y38" s="3">
        <v>0</v>
      </c>
      <c r="Z38" s="3"/>
      <c r="AA38" s="3">
        <v>0</v>
      </c>
      <c r="AC38" s="9">
        <f t="shared" si="0"/>
        <v>0</v>
      </c>
    </row>
    <row r="39" spans="1:29" s="9" customFormat="1" ht="12" hidden="1">
      <c r="A39" s="9" t="s">
        <v>112</v>
      </c>
      <c r="C39" s="9" t="s">
        <v>113</v>
      </c>
      <c r="E39" s="3">
        <v>0</v>
      </c>
      <c r="F39" s="3"/>
      <c r="G39" s="3">
        <v>0</v>
      </c>
      <c r="H39" s="3"/>
      <c r="I39" s="3">
        <v>0</v>
      </c>
      <c r="J39" s="3"/>
      <c r="K39" s="3">
        <v>0</v>
      </c>
      <c r="L39" s="3"/>
      <c r="M39" s="3">
        <v>0</v>
      </c>
      <c r="N39" s="3"/>
      <c r="O39" s="3">
        <v>0</v>
      </c>
      <c r="P39" s="3"/>
      <c r="Q39" s="3">
        <v>0</v>
      </c>
      <c r="R39" s="3"/>
      <c r="S39" s="3">
        <v>0</v>
      </c>
      <c r="T39" s="3"/>
      <c r="U39" s="3">
        <v>0</v>
      </c>
      <c r="V39" s="3"/>
      <c r="W39" s="3">
        <v>0</v>
      </c>
      <c r="X39" s="3"/>
      <c r="Y39" s="3">
        <v>0</v>
      </c>
      <c r="Z39" s="3"/>
      <c r="AA39" s="3">
        <v>0</v>
      </c>
      <c r="AC39" s="9">
        <f t="shared" si="0"/>
        <v>0</v>
      </c>
    </row>
    <row r="40" spans="1:29" s="9" customFormat="1" ht="12" hidden="1">
      <c r="A40" s="9" t="s">
        <v>114</v>
      </c>
      <c r="C40" s="9" t="s">
        <v>26</v>
      </c>
      <c r="E40" s="3">
        <v>0</v>
      </c>
      <c r="F40" s="3"/>
      <c r="G40" s="3">
        <v>0</v>
      </c>
      <c r="H40" s="3"/>
      <c r="I40" s="3">
        <v>0</v>
      </c>
      <c r="J40" s="3"/>
      <c r="K40" s="3">
        <v>0</v>
      </c>
      <c r="L40" s="3"/>
      <c r="M40" s="3">
        <v>0</v>
      </c>
      <c r="N40" s="3"/>
      <c r="O40" s="3">
        <v>0</v>
      </c>
      <c r="P40" s="3"/>
      <c r="Q40" s="3">
        <v>0</v>
      </c>
      <c r="R40" s="3"/>
      <c r="S40" s="3">
        <v>0</v>
      </c>
      <c r="T40" s="3"/>
      <c r="U40" s="3">
        <v>0</v>
      </c>
      <c r="V40" s="3"/>
      <c r="W40" s="3">
        <v>0</v>
      </c>
      <c r="X40" s="3"/>
      <c r="Y40" s="3">
        <v>0</v>
      </c>
      <c r="Z40" s="3"/>
      <c r="AA40" s="3">
        <v>0</v>
      </c>
      <c r="AC40" s="9">
        <f t="shared" si="0"/>
        <v>0</v>
      </c>
    </row>
    <row r="41" spans="1:29" s="9" customFormat="1" ht="12">
      <c r="A41" s="9" t="s">
        <v>22</v>
      </c>
      <c r="C41" s="9" t="s">
        <v>14</v>
      </c>
      <c r="E41" s="3">
        <v>334291</v>
      </c>
      <c r="F41" s="3"/>
      <c r="G41" s="3">
        <v>0</v>
      </c>
      <c r="H41" s="3"/>
      <c r="I41" s="3">
        <v>87232</v>
      </c>
      <c r="J41" s="3"/>
      <c r="K41" s="3">
        <v>92633</v>
      </c>
      <c r="L41" s="3"/>
      <c r="M41" s="3">
        <v>0</v>
      </c>
      <c r="N41" s="3"/>
      <c r="O41" s="3">
        <v>2091</v>
      </c>
      <c r="P41" s="3"/>
      <c r="Q41" s="3">
        <v>8494</v>
      </c>
      <c r="R41" s="3"/>
      <c r="S41" s="3">
        <v>0</v>
      </c>
      <c r="T41" s="3"/>
      <c r="U41" s="3">
        <v>0</v>
      </c>
      <c r="V41" s="3"/>
      <c r="W41" s="3">
        <v>35000</v>
      </c>
      <c r="X41" s="3"/>
      <c r="Y41" s="3">
        <v>0</v>
      </c>
      <c r="Z41" s="3"/>
      <c r="AA41" s="3">
        <v>0</v>
      </c>
      <c r="AC41" s="9">
        <f t="shared" si="0"/>
        <v>559741</v>
      </c>
    </row>
    <row r="42" spans="1:54" s="9" customFormat="1" ht="12">
      <c r="A42" s="3" t="s">
        <v>91</v>
      </c>
      <c r="B42" s="3"/>
      <c r="C42" s="3" t="s">
        <v>14</v>
      </c>
      <c r="D42" s="3"/>
      <c r="E42" s="3">
        <v>261162.72</v>
      </c>
      <c r="F42" s="3"/>
      <c r="G42" s="3">
        <v>101676.66</v>
      </c>
      <c r="H42" s="3"/>
      <c r="I42" s="3">
        <v>51643.41</v>
      </c>
      <c r="J42" s="3"/>
      <c r="K42" s="3">
        <v>123902.79</v>
      </c>
      <c r="L42" s="3"/>
      <c r="M42" s="3">
        <v>20554.72</v>
      </c>
      <c r="N42" s="3"/>
      <c r="O42" s="3">
        <v>10646</v>
      </c>
      <c r="P42" s="3"/>
      <c r="Q42" s="3">
        <v>12355.44</v>
      </c>
      <c r="R42" s="3"/>
      <c r="S42" s="3">
        <v>0</v>
      </c>
      <c r="T42" s="3"/>
      <c r="U42" s="3">
        <v>0</v>
      </c>
      <c r="V42" s="3"/>
      <c r="W42" s="3">
        <v>0</v>
      </c>
      <c r="X42" s="3"/>
      <c r="Y42" s="3">
        <v>0</v>
      </c>
      <c r="Z42" s="3"/>
      <c r="AA42" s="3">
        <v>0</v>
      </c>
      <c r="AB42" s="3"/>
      <c r="AC42" s="3">
        <f t="shared" si="0"/>
        <v>581941.74</v>
      </c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1:29" s="9" customFormat="1" ht="12">
      <c r="A43" s="9" t="s">
        <v>92</v>
      </c>
      <c r="C43" s="9" t="s">
        <v>93</v>
      </c>
      <c r="E43" s="9">
        <v>35034</v>
      </c>
      <c r="G43" s="9">
        <v>8833</v>
      </c>
      <c r="I43" s="9">
        <v>12435</v>
      </c>
      <c r="K43" s="9">
        <v>21270</v>
      </c>
      <c r="M43" s="9">
        <v>5591</v>
      </c>
      <c r="O43" s="9">
        <v>1633</v>
      </c>
      <c r="Q43" s="9">
        <v>1350</v>
      </c>
      <c r="S43" s="9">
        <v>0</v>
      </c>
      <c r="U43" s="9">
        <v>0</v>
      </c>
      <c r="W43" s="9">
        <v>0</v>
      </c>
      <c r="Y43" s="9">
        <v>0</v>
      </c>
      <c r="AA43" s="9">
        <v>0</v>
      </c>
      <c r="AC43" s="9">
        <f t="shared" si="0"/>
        <v>86146</v>
      </c>
    </row>
    <row r="44" spans="1:29" s="9" customFormat="1" ht="12" hidden="1">
      <c r="A44" s="9" t="s">
        <v>118</v>
      </c>
      <c r="C44" s="9" t="s">
        <v>51</v>
      </c>
      <c r="E44" s="3">
        <v>0</v>
      </c>
      <c r="F44" s="3"/>
      <c r="G44" s="3">
        <v>0</v>
      </c>
      <c r="H44" s="3"/>
      <c r="I44" s="3">
        <v>0</v>
      </c>
      <c r="J44" s="3"/>
      <c r="K44" s="3">
        <v>0</v>
      </c>
      <c r="L44" s="3"/>
      <c r="M44" s="3">
        <v>0</v>
      </c>
      <c r="N44" s="3"/>
      <c r="O44" s="3">
        <v>0</v>
      </c>
      <c r="P44" s="3"/>
      <c r="Q44" s="3">
        <v>0</v>
      </c>
      <c r="R44" s="3"/>
      <c r="S44" s="3">
        <v>0</v>
      </c>
      <c r="T44" s="3"/>
      <c r="U44" s="3">
        <v>0</v>
      </c>
      <c r="V44" s="3"/>
      <c r="W44" s="3">
        <v>0</v>
      </c>
      <c r="X44" s="3"/>
      <c r="Y44" s="3">
        <v>0</v>
      </c>
      <c r="Z44" s="3"/>
      <c r="AA44" s="3">
        <v>0</v>
      </c>
      <c r="AC44" s="9">
        <f t="shared" si="0"/>
        <v>0</v>
      </c>
    </row>
    <row r="45" spans="1:29" s="9" customFormat="1" ht="12">
      <c r="A45" s="9" t="s">
        <v>94</v>
      </c>
      <c r="C45" s="9" t="s">
        <v>95</v>
      </c>
      <c r="E45" s="9">
        <v>21777</v>
      </c>
      <c r="G45" s="9">
        <v>0</v>
      </c>
      <c r="I45" s="9">
        <f>922618-22382-21777</f>
        <v>878459</v>
      </c>
      <c r="K45" s="9">
        <v>0</v>
      </c>
      <c r="M45" s="9">
        <v>0</v>
      </c>
      <c r="O45" s="9">
        <v>0</v>
      </c>
      <c r="Q45" s="9">
        <v>22382</v>
      </c>
      <c r="S45" s="9">
        <v>0</v>
      </c>
      <c r="U45" s="9">
        <v>0</v>
      </c>
      <c r="W45" s="9">
        <v>150000</v>
      </c>
      <c r="Y45" s="9">
        <v>0</v>
      </c>
      <c r="AA45" s="9">
        <v>0</v>
      </c>
      <c r="AC45" s="9">
        <f aca="true" t="shared" si="1" ref="AC45:AC76">SUM(E45:AA45)</f>
        <v>1072618</v>
      </c>
    </row>
    <row r="46" spans="1:29" s="9" customFormat="1" ht="12">
      <c r="A46" s="9" t="s">
        <v>96</v>
      </c>
      <c r="C46" s="9" t="s">
        <v>48</v>
      </c>
      <c r="E46" s="9">
        <v>67317</v>
      </c>
      <c r="G46" s="9">
        <v>9269</v>
      </c>
      <c r="I46" s="9">
        <v>11119</v>
      </c>
      <c r="K46" s="9">
        <v>34828</v>
      </c>
      <c r="M46" s="9">
        <v>6094</v>
      </c>
      <c r="O46" s="9">
        <v>975</v>
      </c>
      <c r="Q46" s="9">
        <v>3109</v>
      </c>
      <c r="S46" s="9">
        <v>0</v>
      </c>
      <c r="U46" s="9">
        <v>0</v>
      </c>
      <c r="W46" s="9">
        <v>30000</v>
      </c>
      <c r="Y46" s="9">
        <v>0</v>
      </c>
      <c r="Z46" s="3"/>
      <c r="AA46" s="3">
        <v>0</v>
      </c>
      <c r="AC46" s="9">
        <f t="shared" si="1"/>
        <v>162711</v>
      </c>
    </row>
    <row r="47" spans="1:29" s="9" customFormat="1" ht="12" hidden="1">
      <c r="A47" s="9" t="s">
        <v>388</v>
      </c>
      <c r="C47" s="9" t="s">
        <v>52</v>
      </c>
      <c r="E47" s="3">
        <v>0</v>
      </c>
      <c r="F47" s="3"/>
      <c r="G47" s="3">
        <v>0</v>
      </c>
      <c r="H47" s="3"/>
      <c r="I47" s="3">
        <v>0</v>
      </c>
      <c r="J47" s="3"/>
      <c r="K47" s="3">
        <v>0</v>
      </c>
      <c r="L47" s="3"/>
      <c r="M47" s="3">
        <v>0</v>
      </c>
      <c r="N47" s="3"/>
      <c r="O47" s="3">
        <v>0</v>
      </c>
      <c r="P47" s="3"/>
      <c r="Q47" s="3">
        <v>0</v>
      </c>
      <c r="R47" s="3"/>
      <c r="S47" s="3">
        <v>0</v>
      </c>
      <c r="T47" s="3"/>
      <c r="U47" s="3">
        <v>0</v>
      </c>
      <c r="V47" s="3"/>
      <c r="W47" s="3">
        <v>0</v>
      </c>
      <c r="X47" s="3"/>
      <c r="Y47" s="3">
        <v>0</v>
      </c>
      <c r="Z47" s="3"/>
      <c r="AA47" s="3">
        <v>0</v>
      </c>
      <c r="AC47" s="9">
        <f t="shared" si="1"/>
        <v>0</v>
      </c>
    </row>
    <row r="48" spans="1:29" s="9" customFormat="1" ht="12">
      <c r="A48" s="9" t="s">
        <v>343</v>
      </c>
      <c r="C48" s="9" t="s">
        <v>98</v>
      </c>
      <c r="E48" s="3">
        <v>1131771</v>
      </c>
      <c r="F48" s="3"/>
      <c r="G48" s="3">
        <v>394583</v>
      </c>
      <c r="H48" s="3"/>
      <c r="I48" s="3">
        <v>193383</v>
      </c>
      <c r="J48" s="3"/>
      <c r="K48" s="3">
        <v>254738</v>
      </c>
      <c r="L48" s="3"/>
      <c r="M48" s="3">
        <v>39287</v>
      </c>
      <c r="N48" s="3"/>
      <c r="O48" s="3">
        <v>6024</v>
      </c>
      <c r="P48" s="3"/>
      <c r="Q48" s="3">
        <v>96627</v>
      </c>
      <c r="R48" s="3"/>
      <c r="S48" s="3">
        <v>0</v>
      </c>
      <c r="T48" s="3"/>
      <c r="U48" s="3">
        <v>0</v>
      </c>
      <c r="V48" s="3"/>
      <c r="W48" s="3">
        <v>0</v>
      </c>
      <c r="X48" s="3"/>
      <c r="Y48" s="3">
        <v>0</v>
      </c>
      <c r="Z48" s="3"/>
      <c r="AA48" s="3">
        <v>0</v>
      </c>
      <c r="AC48" s="9">
        <f t="shared" si="1"/>
        <v>2116413</v>
      </c>
    </row>
    <row r="49" spans="1:29" s="9" customFormat="1" ht="12" hidden="1">
      <c r="A49" s="9" t="s">
        <v>384</v>
      </c>
      <c r="C49" s="9" t="s">
        <v>27</v>
      </c>
      <c r="E49" s="3">
        <v>0</v>
      </c>
      <c r="F49" s="3"/>
      <c r="G49" s="3">
        <v>0</v>
      </c>
      <c r="H49" s="3"/>
      <c r="I49" s="3">
        <v>0</v>
      </c>
      <c r="J49" s="3"/>
      <c r="K49" s="3">
        <v>0</v>
      </c>
      <c r="L49" s="3"/>
      <c r="M49" s="3">
        <v>0</v>
      </c>
      <c r="N49" s="3"/>
      <c r="O49" s="3">
        <v>0</v>
      </c>
      <c r="P49" s="3"/>
      <c r="Q49" s="3">
        <v>0</v>
      </c>
      <c r="R49" s="3"/>
      <c r="S49" s="3">
        <v>0</v>
      </c>
      <c r="T49" s="3"/>
      <c r="U49" s="3">
        <v>0</v>
      </c>
      <c r="V49" s="3"/>
      <c r="W49" s="3">
        <v>0</v>
      </c>
      <c r="X49" s="3"/>
      <c r="Y49" s="3">
        <v>0</v>
      </c>
      <c r="Z49" s="3"/>
      <c r="AA49" s="3">
        <v>0</v>
      </c>
      <c r="AC49" s="9">
        <f t="shared" si="1"/>
        <v>0</v>
      </c>
    </row>
    <row r="50" spans="1:29" s="9" customFormat="1" ht="12">
      <c r="A50" s="9" t="s">
        <v>99</v>
      </c>
      <c r="C50" s="9" t="s">
        <v>100</v>
      </c>
      <c r="E50" s="3">
        <v>1012947</v>
      </c>
      <c r="F50" s="3"/>
      <c r="G50" s="3">
        <v>287759</v>
      </c>
      <c r="H50" s="3"/>
      <c r="I50" s="3">
        <v>185983</v>
      </c>
      <c r="J50" s="3"/>
      <c r="K50" s="3">
        <v>290725</v>
      </c>
      <c r="L50" s="3"/>
      <c r="M50" s="3">
        <v>45865</v>
      </c>
      <c r="N50" s="3"/>
      <c r="O50" s="3">
        <v>6298</v>
      </c>
      <c r="P50" s="3"/>
      <c r="Q50" s="3">
        <v>62561</v>
      </c>
      <c r="R50" s="3"/>
      <c r="S50" s="3">
        <v>0</v>
      </c>
      <c r="T50" s="3"/>
      <c r="U50" s="3">
        <v>0</v>
      </c>
      <c r="V50" s="3"/>
      <c r="W50" s="3">
        <v>0</v>
      </c>
      <c r="X50" s="3"/>
      <c r="Y50" s="3">
        <v>0</v>
      </c>
      <c r="Z50" s="3"/>
      <c r="AA50" s="3">
        <v>0</v>
      </c>
      <c r="AC50" s="9">
        <f t="shared" si="1"/>
        <v>1892138</v>
      </c>
    </row>
    <row r="51" spans="1:29" s="9" customFormat="1" ht="12">
      <c r="A51" s="9" t="s">
        <v>101</v>
      </c>
      <c r="C51" s="9" t="s">
        <v>72</v>
      </c>
      <c r="E51" s="3">
        <v>395571</v>
      </c>
      <c r="F51" s="3"/>
      <c r="G51" s="3">
        <v>478</v>
      </c>
      <c r="H51" s="3"/>
      <c r="I51" s="3">
        <v>76558</v>
      </c>
      <c r="J51" s="3"/>
      <c r="K51" s="3">
        <v>111583</v>
      </c>
      <c r="L51" s="3"/>
      <c r="M51" s="3">
        <v>18131</v>
      </c>
      <c r="N51" s="3"/>
      <c r="O51" s="3">
        <v>2577</v>
      </c>
      <c r="P51" s="3"/>
      <c r="Q51" s="3">
        <v>48198</v>
      </c>
      <c r="R51" s="3"/>
      <c r="S51" s="3">
        <v>0</v>
      </c>
      <c r="T51" s="3"/>
      <c r="U51" s="3">
        <v>0</v>
      </c>
      <c r="V51" s="3"/>
      <c r="W51" s="3">
        <v>0</v>
      </c>
      <c r="X51" s="3"/>
      <c r="Y51" s="3">
        <v>0</v>
      </c>
      <c r="Z51" s="3"/>
      <c r="AA51" s="3">
        <v>0</v>
      </c>
      <c r="AC51" s="9">
        <f t="shared" si="1"/>
        <v>653096</v>
      </c>
    </row>
    <row r="52" spans="1:54" s="9" customFormat="1" ht="12">
      <c r="A52" s="3" t="s">
        <v>102</v>
      </c>
      <c r="B52" s="3"/>
      <c r="C52" s="3" t="s">
        <v>48</v>
      </c>
      <c r="D52" s="3"/>
      <c r="E52" s="3">
        <v>63054.82</v>
      </c>
      <c r="F52" s="3"/>
      <c r="G52" s="3">
        <v>10300.27</v>
      </c>
      <c r="H52" s="3"/>
      <c r="I52" s="3">
        <v>14559.57</v>
      </c>
      <c r="J52" s="3"/>
      <c r="K52" s="3">
        <v>33919.28</v>
      </c>
      <c r="L52" s="3"/>
      <c r="M52" s="3">
        <v>5852.02</v>
      </c>
      <c r="N52" s="3"/>
      <c r="O52" s="3">
        <v>8369.66</v>
      </c>
      <c r="P52" s="3"/>
      <c r="Q52" s="3">
        <v>2023.77</v>
      </c>
      <c r="R52" s="3"/>
      <c r="S52" s="3">
        <v>0</v>
      </c>
      <c r="T52" s="3"/>
      <c r="U52" s="3">
        <v>0</v>
      </c>
      <c r="V52" s="3"/>
      <c r="W52" s="3">
        <v>21590.96</v>
      </c>
      <c r="X52" s="3"/>
      <c r="Y52" s="3">
        <v>0</v>
      </c>
      <c r="Z52" s="3"/>
      <c r="AA52" s="3">
        <v>0</v>
      </c>
      <c r="AB52" s="3"/>
      <c r="AC52" s="3">
        <f t="shared" si="1"/>
        <v>159670.34999999998</v>
      </c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</row>
    <row r="53" spans="1:29" s="9" customFormat="1" ht="12" hidden="1">
      <c r="A53" s="9" t="s">
        <v>494</v>
      </c>
      <c r="C53" s="9" t="s">
        <v>98</v>
      </c>
      <c r="E53" s="3">
        <v>0</v>
      </c>
      <c r="F53" s="3"/>
      <c r="G53" s="3">
        <v>0</v>
      </c>
      <c r="H53" s="3"/>
      <c r="I53" s="3">
        <v>0</v>
      </c>
      <c r="J53" s="3"/>
      <c r="K53" s="3">
        <v>0</v>
      </c>
      <c r="L53" s="3"/>
      <c r="M53" s="3">
        <v>0</v>
      </c>
      <c r="N53" s="3"/>
      <c r="O53" s="3">
        <v>0</v>
      </c>
      <c r="P53" s="3"/>
      <c r="Q53" s="3">
        <v>0</v>
      </c>
      <c r="R53" s="3"/>
      <c r="S53" s="3">
        <v>0</v>
      </c>
      <c r="T53" s="3"/>
      <c r="U53" s="3">
        <v>0</v>
      </c>
      <c r="V53" s="3"/>
      <c r="W53" s="3">
        <v>0</v>
      </c>
      <c r="X53" s="3"/>
      <c r="Y53" s="3">
        <v>0</v>
      </c>
      <c r="Z53" s="3"/>
      <c r="AA53" s="3">
        <v>0</v>
      </c>
      <c r="AC53" s="9">
        <f t="shared" si="1"/>
        <v>0</v>
      </c>
    </row>
    <row r="54" spans="1:54" s="9" customFormat="1" ht="12">
      <c r="A54" s="3" t="s">
        <v>344</v>
      </c>
      <c r="B54" s="3"/>
      <c r="C54" s="3" t="s">
        <v>104</v>
      </c>
      <c r="D54" s="3"/>
      <c r="E54" s="3">
        <v>175794.94</v>
      </c>
      <c r="F54" s="3"/>
      <c r="G54" s="3">
        <v>43442.52</v>
      </c>
      <c r="H54" s="3"/>
      <c r="I54" s="3">
        <v>102015.64</v>
      </c>
      <c r="J54" s="3"/>
      <c r="K54" s="3">
        <v>58456.55</v>
      </c>
      <c r="L54" s="3"/>
      <c r="M54" s="3">
        <v>8856.53</v>
      </c>
      <c r="N54" s="3"/>
      <c r="O54" s="3">
        <v>3019.25</v>
      </c>
      <c r="P54" s="3"/>
      <c r="Q54" s="3">
        <v>30929.47</v>
      </c>
      <c r="R54" s="3"/>
      <c r="S54" s="3">
        <v>0</v>
      </c>
      <c r="T54" s="3"/>
      <c r="U54" s="3">
        <v>0</v>
      </c>
      <c r="V54" s="3"/>
      <c r="W54" s="3">
        <v>0</v>
      </c>
      <c r="X54" s="3"/>
      <c r="Y54" s="3">
        <v>0</v>
      </c>
      <c r="Z54" s="3"/>
      <c r="AA54" s="3">
        <v>0</v>
      </c>
      <c r="AB54" s="3"/>
      <c r="AC54" s="3">
        <f t="shared" si="1"/>
        <v>422514.9</v>
      </c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1:54" s="42" customFormat="1" ht="12" hidden="1">
      <c r="A55" s="9" t="s">
        <v>417</v>
      </c>
      <c r="B55" s="9"/>
      <c r="C55" s="9" t="s">
        <v>73</v>
      </c>
      <c r="D55" s="9"/>
      <c r="E55" s="3">
        <v>0</v>
      </c>
      <c r="F55" s="3"/>
      <c r="G55" s="3">
        <v>0</v>
      </c>
      <c r="H55" s="3"/>
      <c r="I55" s="3">
        <v>0</v>
      </c>
      <c r="J55" s="3"/>
      <c r="K55" s="3">
        <v>0</v>
      </c>
      <c r="L55" s="3"/>
      <c r="M55" s="3">
        <v>0</v>
      </c>
      <c r="N55" s="3"/>
      <c r="O55" s="3">
        <v>0</v>
      </c>
      <c r="P55" s="3"/>
      <c r="Q55" s="3">
        <v>0</v>
      </c>
      <c r="R55" s="3"/>
      <c r="S55" s="3">
        <v>0</v>
      </c>
      <c r="T55" s="3"/>
      <c r="U55" s="3">
        <v>0</v>
      </c>
      <c r="V55" s="3"/>
      <c r="W55" s="3">
        <v>0</v>
      </c>
      <c r="X55" s="3"/>
      <c r="Y55" s="3">
        <v>0</v>
      </c>
      <c r="Z55" s="3"/>
      <c r="AA55" s="3">
        <v>0</v>
      </c>
      <c r="AB55" s="41"/>
      <c r="AC55" s="9">
        <f t="shared" si="1"/>
        <v>0</v>
      </c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</row>
    <row r="56" spans="1:54" s="9" customFormat="1" ht="12">
      <c r="A56" s="3" t="s">
        <v>105</v>
      </c>
      <c r="B56" s="3"/>
      <c r="C56" s="3" t="s">
        <v>49</v>
      </c>
      <c r="D56" s="3"/>
      <c r="E56" s="3">
        <v>105540.17</v>
      </c>
      <c r="F56" s="3"/>
      <c r="G56" s="3">
        <v>25304.14</v>
      </c>
      <c r="H56" s="3"/>
      <c r="I56" s="3">
        <v>40867.2</v>
      </c>
      <c r="J56" s="3"/>
      <c r="K56" s="3">
        <v>30168.73</v>
      </c>
      <c r="L56" s="3"/>
      <c r="M56" s="3">
        <v>10942.85</v>
      </c>
      <c r="N56" s="3"/>
      <c r="O56" s="3">
        <v>713</v>
      </c>
      <c r="P56" s="3"/>
      <c r="Q56" s="3">
        <v>22279.5</v>
      </c>
      <c r="R56" s="3"/>
      <c r="S56" s="3">
        <v>0</v>
      </c>
      <c r="T56" s="3"/>
      <c r="U56" s="3">
        <v>0</v>
      </c>
      <c r="V56" s="3"/>
      <c r="W56" s="3">
        <v>0</v>
      </c>
      <c r="X56" s="3"/>
      <c r="Y56" s="3">
        <v>0</v>
      </c>
      <c r="Z56" s="3"/>
      <c r="AA56" s="3">
        <v>0</v>
      </c>
      <c r="AB56" s="3"/>
      <c r="AC56" s="3">
        <f t="shared" si="1"/>
        <v>235815.59000000003</v>
      </c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1:54" s="9" customFormat="1" ht="12">
      <c r="A57" s="3" t="s">
        <v>106</v>
      </c>
      <c r="B57" s="3"/>
      <c r="C57" s="3" t="s">
        <v>56</v>
      </c>
      <c r="D57" s="3"/>
      <c r="E57" s="3">
        <v>112010.65</v>
      </c>
      <c r="F57" s="3"/>
      <c r="G57" s="3">
        <v>21213.04</v>
      </c>
      <c r="H57" s="3"/>
      <c r="I57" s="3">
        <v>46461.62</v>
      </c>
      <c r="J57" s="3"/>
      <c r="K57" s="3">
        <v>29235.34</v>
      </c>
      <c r="L57" s="3"/>
      <c r="M57" s="3">
        <v>7657.13</v>
      </c>
      <c r="N57" s="3"/>
      <c r="O57" s="3">
        <v>1980.41</v>
      </c>
      <c r="P57" s="3"/>
      <c r="Q57" s="3">
        <v>6675.65</v>
      </c>
      <c r="R57" s="3"/>
      <c r="S57" s="3">
        <v>0</v>
      </c>
      <c r="T57" s="3"/>
      <c r="U57" s="3">
        <v>0</v>
      </c>
      <c r="V57" s="3"/>
      <c r="W57" s="3">
        <v>10000</v>
      </c>
      <c r="X57" s="3"/>
      <c r="Y57" s="3">
        <v>0</v>
      </c>
      <c r="Z57" s="3"/>
      <c r="AA57" s="3">
        <v>0</v>
      </c>
      <c r="AB57" s="3"/>
      <c r="AC57" s="3">
        <f t="shared" si="1"/>
        <v>235233.84</v>
      </c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1:29" s="9" customFormat="1" ht="12" hidden="1">
      <c r="A58" s="9" t="s">
        <v>132</v>
      </c>
      <c r="C58" s="9" t="s">
        <v>55</v>
      </c>
      <c r="E58" s="3">
        <v>0</v>
      </c>
      <c r="F58" s="3"/>
      <c r="G58" s="3">
        <v>0</v>
      </c>
      <c r="H58" s="3"/>
      <c r="I58" s="3">
        <v>0</v>
      </c>
      <c r="J58" s="3"/>
      <c r="K58" s="3">
        <v>0</v>
      </c>
      <c r="L58" s="3"/>
      <c r="M58" s="3">
        <v>0</v>
      </c>
      <c r="N58" s="3"/>
      <c r="O58" s="3">
        <v>0</v>
      </c>
      <c r="P58" s="3"/>
      <c r="Q58" s="3">
        <v>0</v>
      </c>
      <c r="R58" s="3"/>
      <c r="S58" s="3">
        <v>0</v>
      </c>
      <c r="T58" s="3"/>
      <c r="U58" s="3">
        <v>0</v>
      </c>
      <c r="V58" s="3"/>
      <c r="W58" s="3">
        <v>0</v>
      </c>
      <c r="X58" s="3"/>
      <c r="Y58" s="3">
        <v>0</v>
      </c>
      <c r="Z58" s="3"/>
      <c r="AA58" s="3">
        <v>0</v>
      </c>
      <c r="AC58" s="9">
        <f t="shared" si="1"/>
        <v>0</v>
      </c>
    </row>
    <row r="59" spans="1:29" s="9" customFormat="1" ht="12">
      <c r="A59" s="9" t="s">
        <v>107</v>
      </c>
      <c r="C59" s="9" t="s">
        <v>59</v>
      </c>
      <c r="E59" s="3">
        <v>74666</v>
      </c>
      <c r="F59" s="3"/>
      <c r="G59" s="3">
        <v>0</v>
      </c>
      <c r="H59" s="3"/>
      <c r="I59" s="3">
        <v>407238</v>
      </c>
      <c r="J59" s="3"/>
      <c r="K59" s="3">
        <v>0</v>
      </c>
      <c r="L59" s="3"/>
      <c r="M59" s="3">
        <v>0</v>
      </c>
      <c r="N59" s="3"/>
      <c r="O59" s="3">
        <v>0</v>
      </c>
      <c r="P59" s="3"/>
      <c r="Q59" s="3">
        <v>6863</v>
      </c>
      <c r="R59" s="3"/>
      <c r="S59" s="3">
        <v>0</v>
      </c>
      <c r="T59" s="3"/>
      <c r="U59" s="3">
        <v>0</v>
      </c>
      <c r="V59" s="3"/>
      <c r="W59" s="3">
        <v>500000</v>
      </c>
      <c r="X59" s="3"/>
      <c r="Y59" s="3">
        <v>0</v>
      </c>
      <c r="Z59" s="3"/>
      <c r="AA59" s="3">
        <v>0</v>
      </c>
      <c r="AC59" s="9">
        <f t="shared" si="1"/>
        <v>988767</v>
      </c>
    </row>
    <row r="60" spans="1:54" s="9" customFormat="1" ht="12">
      <c r="A60" s="3" t="s">
        <v>596</v>
      </c>
      <c r="B60" s="3"/>
      <c r="C60" s="3" t="s">
        <v>59</v>
      </c>
      <c r="D60" s="3"/>
      <c r="E60" s="3">
        <v>222298.33</v>
      </c>
      <c r="F60" s="3"/>
      <c r="G60" s="3">
        <v>52678.49</v>
      </c>
      <c r="H60" s="3"/>
      <c r="I60" s="3">
        <v>53952.6</v>
      </c>
      <c r="J60" s="3"/>
      <c r="K60" s="3">
        <v>116492.22</v>
      </c>
      <c r="L60" s="3"/>
      <c r="M60" s="3">
        <v>9417.05</v>
      </c>
      <c r="N60" s="3"/>
      <c r="O60" s="3">
        <v>26555.96</v>
      </c>
      <c r="P60" s="3"/>
      <c r="Q60" s="3">
        <v>6863.19</v>
      </c>
      <c r="R60" s="3"/>
      <c r="S60" s="3">
        <v>0</v>
      </c>
      <c r="T60" s="3"/>
      <c r="U60" s="3">
        <v>0</v>
      </c>
      <c r="V60" s="3"/>
      <c r="W60" s="3">
        <v>0</v>
      </c>
      <c r="X60" s="3"/>
      <c r="Y60" s="3">
        <v>0</v>
      </c>
      <c r="Z60" s="3"/>
      <c r="AA60" s="3">
        <v>510</v>
      </c>
      <c r="AB60" s="3"/>
      <c r="AC60" s="3">
        <f t="shared" si="1"/>
        <v>488767.84</v>
      </c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  <row r="61" spans="1:54" s="9" customFormat="1" ht="12">
      <c r="A61" s="3" t="s">
        <v>549</v>
      </c>
      <c r="B61" s="3"/>
      <c r="C61" s="3" t="s">
        <v>50</v>
      </c>
      <c r="D61" s="3"/>
      <c r="E61" s="3">
        <v>491652.51</v>
      </c>
      <c r="F61" s="3"/>
      <c r="G61" s="3">
        <v>112070.14</v>
      </c>
      <c r="H61" s="3"/>
      <c r="I61" s="3">
        <v>184920.22</v>
      </c>
      <c r="J61" s="3"/>
      <c r="K61" s="3">
        <v>120281.87</v>
      </c>
      <c r="L61" s="3"/>
      <c r="M61" s="3">
        <v>15589.13</v>
      </c>
      <c r="N61" s="3"/>
      <c r="O61" s="3">
        <v>259.28</v>
      </c>
      <c r="P61" s="3"/>
      <c r="Q61" s="3">
        <v>43450.41</v>
      </c>
      <c r="R61" s="3"/>
      <c r="S61" s="3">
        <v>0</v>
      </c>
      <c r="T61" s="3"/>
      <c r="U61" s="3">
        <v>0</v>
      </c>
      <c r="V61" s="3"/>
      <c r="W61" s="3">
        <v>0</v>
      </c>
      <c r="X61" s="3"/>
      <c r="Y61" s="3">
        <v>0</v>
      </c>
      <c r="Z61" s="3"/>
      <c r="AA61" s="3">
        <v>0</v>
      </c>
      <c r="AB61" s="3"/>
      <c r="AC61" s="3">
        <f t="shared" si="1"/>
        <v>968223.56</v>
      </c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1:29" s="9" customFormat="1" ht="12">
      <c r="A62" s="9" t="s">
        <v>108</v>
      </c>
      <c r="C62" s="9" t="s">
        <v>109</v>
      </c>
      <c r="E62" s="9">
        <v>82000</v>
      </c>
      <c r="G62" s="9">
        <v>10212</v>
      </c>
      <c r="I62" s="9">
        <v>25949</v>
      </c>
      <c r="K62" s="9">
        <v>8496</v>
      </c>
      <c r="M62" s="9">
        <v>3451</v>
      </c>
      <c r="O62" s="9">
        <v>2754</v>
      </c>
      <c r="Q62" s="9">
        <v>6925</v>
      </c>
      <c r="S62" s="9">
        <v>0</v>
      </c>
      <c r="U62" s="9">
        <v>0</v>
      </c>
      <c r="W62" s="9">
        <v>0</v>
      </c>
      <c r="Y62" s="9">
        <v>0</v>
      </c>
      <c r="Z62" s="3"/>
      <c r="AA62" s="3">
        <v>0</v>
      </c>
      <c r="AC62" s="9">
        <f t="shared" si="1"/>
        <v>139787</v>
      </c>
    </row>
    <row r="63" spans="1:29" s="9" customFormat="1" ht="12" hidden="1">
      <c r="A63" s="9" t="s">
        <v>138</v>
      </c>
      <c r="C63" s="9" t="s">
        <v>104</v>
      </c>
      <c r="E63" s="3">
        <v>0</v>
      </c>
      <c r="F63" s="3"/>
      <c r="G63" s="3">
        <v>0</v>
      </c>
      <c r="H63" s="3"/>
      <c r="I63" s="3">
        <v>0</v>
      </c>
      <c r="J63" s="3"/>
      <c r="K63" s="3">
        <v>0</v>
      </c>
      <c r="L63" s="3"/>
      <c r="M63" s="3">
        <v>0</v>
      </c>
      <c r="N63" s="3"/>
      <c r="O63" s="3">
        <v>0</v>
      </c>
      <c r="P63" s="3"/>
      <c r="Q63" s="3">
        <v>0</v>
      </c>
      <c r="R63" s="3"/>
      <c r="S63" s="3">
        <v>0</v>
      </c>
      <c r="T63" s="3"/>
      <c r="U63" s="3">
        <v>0</v>
      </c>
      <c r="V63" s="3"/>
      <c r="W63" s="3">
        <v>0</v>
      </c>
      <c r="X63" s="3"/>
      <c r="Y63" s="3">
        <v>0</v>
      </c>
      <c r="Z63" s="3"/>
      <c r="AA63" s="3">
        <v>0</v>
      </c>
      <c r="AC63" s="9">
        <f t="shared" si="1"/>
        <v>0</v>
      </c>
    </row>
    <row r="64" spans="1:29" s="9" customFormat="1" ht="12" hidden="1">
      <c r="A64" s="9" t="s">
        <v>139</v>
      </c>
      <c r="C64" s="9" t="s">
        <v>45</v>
      </c>
      <c r="E64" s="3">
        <v>0</v>
      </c>
      <c r="F64" s="3"/>
      <c r="G64" s="3">
        <v>0</v>
      </c>
      <c r="H64" s="3"/>
      <c r="I64" s="3">
        <v>0</v>
      </c>
      <c r="J64" s="3"/>
      <c r="K64" s="3">
        <v>0</v>
      </c>
      <c r="L64" s="3"/>
      <c r="M64" s="3">
        <v>0</v>
      </c>
      <c r="N64" s="3"/>
      <c r="O64" s="3">
        <v>0</v>
      </c>
      <c r="P64" s="3"/>
      <c r="Q64" s="3">
        <v>0</v>
      </c>
      <c r="R64" s="3"/>
      <c r="S64" s="3">
        <v>0</v>
      </c>
      <c r="T64" s="3"/>
      <c r="U64" s="3">
        <v>0</v>
      </c>
      <c r="V64" s="3"/>
      <c r="W64" s="3">
        <v>0</v>
      </c>
      <c r="X64" s="3"/>
      <c r="Y64" s="3">
        <v>0</v>
      </c>
      <c r="Z64" s="3"/>
      <c r="AA64" s="3">
        <v>0</v>
      </c>
      <c r="AC64" s="9">
        <f t="shared" si="1"/>
        <v>0</v>
      </c>
    </row>
    <row r="65" spans="1:29" s="9" customFormat="1" ht="12">
      <c r="A65" s="9" t="s">
        <v>110</v>
      </c>
      <c r="C65" s="9" t="s">
        <v>55</v>
      </c>
      <c r="E65" s="3">
        <v>276260</v>
      </c>
      <c r="F65" s="3"/>
      <c r="G65" s="3">
        <f>39429+39420+646</f>
        <v>79495</v>
      </c>
      <c r="H65" s="3"/>
      <c r="I65" s="3">
        <f>6406+20685+56882+8645+8506+22420+1288</f>
        <v>124832</v>
      </c>
      <c r="J65" s="3"/>
      <c r="K65" s="3">
        <f>55364+6941+10552+19707</f>
        <v>92564</v>
      </c>
      <c r="L65" s="3"/>
      <c r="M65" s="3">
        <f>8295+2721+15949</f>
        <v>26965</v>
      </c>
      <c r="N65" s="3"/>
      <c r="O65" s="3">
        <v>0</v>
      </c>
      <c r="P65" s="3"/>
      <c r="Q65" s="3">
        <f>241782+55003</f>
        <v>296785</v>
      </c>
      <c r="R65" s="3"/>
      <c r="S65" s="3">
        <v>0</v>
      </c>
      <c r="T65" s="3"/>
      <c r="U65" s="3">
        <v>0</v>
      </c>
      <c r="V65" s="3"/>
      <c r="W65" s="3">
        <v>50534</v>
      </c>
      <c r="X65" s="3"/>
      <c r="Y65" s="3">
        <v>0</v>
      </c>
      <c r="Z65" s="3"/>
      <c r="AA65" s="3">
        <f>2515+1041</f>
        <v>3556</v>
      </c>
      <c r="AC65" s="9">
        <f t="shared" si="1"/>
        <v>950991</v>
      </c>
    </row>
    <row r="66" spans="1:54" s="9" customFormat="1" ht="12">
      <c r="A66" s="3" t="s">
        <v>111</v>
      </c>
      <c r="B66" s="3"/>
      <c r="C66" s="3" t="s">
        <v>18</v>
      </c>
      <c r="D66" s="3"/>
      <c r="E66" s="3">
        <v>398785.68</v>
      </c>
      <c r="F66" s="3"/>
      <c r="G66" s="3">
        <v>97783.32</v>
      </c>
      <c r="H66" s="3"/>
      <c r="I66" s="3">
        <v>133121.03</v>
      </c>
      <c r="J66" s="3"/>
      <c r="K66" s="3">
        <v>108537.67</v>
      </c>
      <c r="L66" s="3"/>
      <c r="M66" s="3">
        <v>20316.78</v>
      </c>
      <c r="N66" s="3"/>
      <c r="O66" s="3">
        <v>9850.81</v>
      </c>
      <c r="P66" s="3"/>
      <c r="Q66" s="3">
        <v>5286.19</v>
      </c>
      <c r="R66" s="3"/>
      <c r="S66" s="3">
        <v>15000</v>
      </c>
      <c r="T66" s="3"/>
      <c r="U66" s="3">
        <v>4158</v>
      </c>
      <c r="V66" s="3"/>
      <c r="W66" s="3">
        <v>0</v>
      </c>
      <c r="X66" s="3"/>
      <c r="Y66" s="3">
        <v>0</v>
      </c>
      <c r="Z66" s="3"/>
      <c r="AA66" s="3">
        <v>0</v>
      </c>
      <c r="AB66" s="3"/>
      <c r="AC66" s="3">
        <f t="shared" si="1"/>
        <v>792839.4800000001</v>
      </c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</row>
    <row r="67" spans="1:29" s="9" customFormat="1" ht="12" hidden="1">
      <c r="A67" s="9" t="s">
        <v>385</v>
      </c>
      <c r="C67" s="9" t="s">
        <v>143</v>
      </c>
      <c r="E67" s="3">
        <v>0</v>
      </c>
      <c r="F67" s="3"/>
      <c r="G67" s="3">
        <v>0</v>
      </c>
      <c r="H67" s="3"/>
      <c r="I67" s="3">
        <v>0</v>
      </c>
      <c r="J67" s="3"/>
      <c r="K67" s="3">
        <v>0</v>
      </c>
      <c r="L67" s="3"/>
      <c r="M67" s="3">
        <v>0</v>
      </c>
      <c r="N67" s="3"/>
      <c r="O67" s="3">
        <v>0</v>
      </c>
      <c r="P67" s="3"/>
      <c r="Q67" s="3">
        <v>0</v>
      </c>
      <c r="R67" s="3"/>
      <c r="S67" s="3">
        <v>0</v>
      </c>
      <c r="T67" s="3"/>
      <c r="U67" s="3">
        <v>0</v>
      </c>
      <c r="V67" s="3"/>
      <c r="W67" s="3">
        <v>0</v>
      </c>
      <c r="X67" s="3"/>
      <c r="Y67" s="3">
        <v>0</v>
      </c>
      <c r="Z67" s="3"/>
      <c r="AA67" s="3">
        <v>0</v>
      </c>
      <c r="AC67" s="9">
        <f t="shared" si="1"/>
        <v>0</v>
      </c>
    </row>
    <row r="68" spans="1:54" s="9" customFormat="1" ht="12">
      <c r="A68" s="3" t="s">
        <v>112</v>
      </c>
      <c r="B68" s="3"/>
      <c r="C68" s="3" t="s">
        <v>113</v>
      </c>
      <c r="D68" s="3"/>
      <c r="E68" s="3">
        <v>243277.66</v>
      </c>
      <c r="F68" s="3"/>
      <c r="G68" s="3">
        <v>64653.12</v>
      </c>
      <c r="H68" s="3"/>
      <c r="I68" s="3">
        <v>90712.45</v>
      </c>
      <c r="J68" s="3"/>
      <c r="K68" s="3">
        <v>86526.91</v>
      </c>
      <c r="L68" s="3"/>
      <c r="M68" s="3">
        <v>7009.3</v>
      </c>
      <c r="N68" s="3"/>
      <c r="O68" s="3">
        <v>1990.08</v>
      </c>
      <c r="P68" s="3"/>
      <c r="Q68" s="3">
        <v>7702.83</v>
      </c>
      <c r="R68" s="3"/>
      <c r="S68" s="3">
        <v>0</v>
      </c>
      <c r="T68" s="3"/>
      <c r="U68" s="3">
        <v>0</v>
      </c>
      <c r="V68" s="3"/>
      <c r="W68" s="3">
        <v>0</v>
      </c>
      <c r="X68" s="3"/>
      <c r="Y68" s="3">
        <v>0</v>
      </c>
      <c r="Z68" s="3"/>
      <c r="AA68" s="3">
        <v>36.1</v>
      </c>
      <c r="AB68" s="3"/>
      <c r="AC68" s="3">
        <f t="shared" si="1"/>
        <v>501908.45</v>
      </c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</row>
    <row r="69" spans="1:29" s="9" customFormat="1" ht="12" hidden="1">
      <c r="A69" s="9" t="s">
        <v>145</v>
      </c>
      <c r="C69" s="9" t="s">
        <v>54</v>
      </c>
      <c r="E69" s="3">
        <v>0</v>
      </c>
      <c r="F69" s="3"/>
      <c r="G69" s="3">
        <v>0</v>
      </c>
      <c r="H69" s="3"/>
      <c r="I69" s="3">
        <v>0</v>
      </c>
      <c r="J69" s="3"/>
      <c r="K69" s="3">
        <v>0</v>
      </c>
      <c r="L69" s="3"/>
      <c r="M69" s="3">
        <v>0</v>
      </c>
      <c r="N69" s="3"/>
      <c r="O69" s="3">
        <v>0</v>
      </c>
      <c r="P69" s="3"/>
      <c r="Q69" s="3">
        <v>0</v>
      </c>
      <c r="R69" s="3"/>
      <c r="S69" s="3">
        <v>0</v>
      </c>
      <c r="T69" s="3"/>
      <c r="U69" s="3">
        <v>0</v>
      </c>
      <c r="V69" s="3"/>
      <c r="W69" s="3">
        <v>0</v>
      </c>
      <c r="X69" s="3"/>
      <c r="Y69" s="3">
        <v>0</v>
      </c>
      <c r="Z69" s="3"/>
      <c r="AA69" s="3">
        <v>0</v>
      </c>
      <c r="AC69" s="9">
        <f t="shared" si="1"/>
        <v>0</v>
      </c>
    </row>
    <row r="70" spans="1:54" s="9" customFormat="1" ht="12">
      <c r="A70" s="3" t="s">
        <v>114</v>
      </c>
      <c r="B70" s="3"/>
      <c r="C70" s="3" t="s">
        <v>26</v>
      </c>
      <c r="D70" s="3"/>
      <c r="E70" s="3">
        <v>379608.9</v>
      </c>
      <c r="F70" s="3"/>
      <c r="G70" s="3">
        <v>93332.3</v>
      </c>
      <c r="H70" s="3"/>
      <c r="I70" s="3">
        <v>109520.59</v>
      </c>
      <c r="J70" s="3"/>
      <c r="K70" s="3">
        <v>165039.83</v>
      </c>
      <c r="L70" s="3"/>
      <c r="M70" s="3">
        <v>16343.7</v>
      </c>
      <c r="N70" s="3"/>
      <c r="O70" s="3">
        <v>2763.38</v>
      </c>
      <c r="P70" s="3"/>
      <c r="Q70" s="3">
        <v>36979.56</v>
      </c>
      <c r="R70" s="3"/>
      <c r="S70" s="3">
        <v>0</v>
      </c>
      <c r="T70" s="3"/>
      <c r="U70" s="3">
        <v>0</v>
      </c>
      <c r="V70" s="3"/>
      <c r="W70" s="3">
        <v>150000</v>
      </c>
      <c r="X70" s="3"/>
      <c r="Y70" s="3">
        <v>0</v>
      </c>
      <c r="Z70" s="3"/>
      <c r="AA70" s="3">
        <v>0</v>
      </c>
      <c r="AB70" s="3"/>
      <c r="AC70" s="3">
        <f t="shared" si="1"/>
        <v>953588.26</v>
      </c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</row>
    <row r="71" spans="1:29" s="9" customFormat="1" ht="12">
      <c r="A71" s="9" t="s">
        <v>115</v>
      </c>
      <c r="C71" s="9" t="s">
        <v>71</v>
      </c>
      <c r="E71" s="9">
        <v>154614</v>
      </c>
      <c r="G71" s="9">
        <v>24387</v>
      </c>
      <c r="I71" s="9">
        <v>40723</v>
      </c>
      <c r="K71" s="9">
        <v>38365</v>
      </c>
      <c r="M71" s="9">
        <v>10407</v>
      </c>
      <c r="O71" s="9">
        <v>2530</v>
      </c>
      <c r="Q71" s="9">
        <v>34879</v>
      </c>
      <c r="S71" s="9">
        <v>0</v>
      </c>
      <c r="U71" s="9">
        <v>0</v>
      </c>
      <c r="W71" s="9">
        <v>0</v>
      </c>
      <c r="Y71" s="9">
        <v>0</v>
      </c>
      <c r="AA71" s="9">
        <v>0</v>
      </c>
      <c r="AC71" s="9">
        <f t="shared" si="1"/>
        <v>305905</v>
      </c>
    </row>
    <row r="72" spans="1:29" s="9" customFormat="1" ht="12">
      <c r="A72" s="9" t="s">
        <v>116</v>
      </c>
      <c r="C72" s="9" t="s">
        <v>54</v>
      </c>
      <c r="E72" s="9">
        <v>399196</v>
      </c>
      <c r="G72" s="9">
        <v>182184</v>
      </c>
      <c r="I72" s="9">
        <f>67926+3258</f>
        <v>71184</v>
      </c>
      <c r="K72" s="9">
        <v>151266</v>
      </c>
      <c r="M72" s="9">
        <v>8269</v>
      </c>
      <c r="O72" s="9">
        <f>22250+108916</f>
        <v>131166</v>
      </c>
      <c r="Q72" s="9">
        <v>0</v>
      </c>
      <c r="S72" s="9">
        <v>0</v>
      </c>
      <c r="U72" s="9">
        <v>0</v>
      </c>
      <c r="W72" s="9">
        <v>50000</v>
      </c>
      <c r="Y72" s="9">
        <v>0</v>
      </c>
      <c r="Z72" s="3"/>
      <c r="AA72" s="3">
        <v>0</v>
      </c>
      <c r="AC72" s="9">
        <f t="shared" si="1"/>
        <v>993265</v>
      </c>
    </row>
    <row r="73" spans="1:29" s="9" customFormat="1" ht="12" hidden="1">
      <c r="A73" s="9" t="s">
        <v>147</v>
      </c>
      <c r="C73" s="9" t="s">
        <v>45</v>
      </c>
      <c r="E73" s="3">
        <v>0</v>
      </c>
      <c r="F73" s="3"/>
      <c r="G73" s="3">
        <v>0</v>
      </c>
      <c r="H73" s="3"/>
      <c r="I73" s="3">
        <v>0</v>
      </c>
      <c r="J73" s="3"/>
      <c r="K73" s="3">
        <v>0</v>
      </c>
      <c r="L73" s="3"/>
      <c r="M73" s="3">
        <v>0</v>
      </c>
      <c r="N73" s="3"/>
      <c r="O73" s="3">
        <v>0</v>
      </c>
      <c r="P73" s="3"/>
      <c r="Q73" s="3">
        <v>0</v>
      </c>
      <c r="R73" s="3"/>
      <c r="S73" s="3">
        <v>0</v>
      </c>
      <c r="T73" s="3"/>
      <c r="U73" s="3">
        <v>0</v>
      </c>
      <c r="V73" s="3"/>
      <c r="W73" s="3">
        <v>0</v>
      </c>
      <c r="X73" s="3"/>
      <c r="Y73" s="3">
        <v>0</v>
      </c>
      <c r="Z73" s="3"/>
      <c r="AA73" s="3">
        <v>0</v>
      </c>
      <c r="AC73" s="9">
        <f t="shared" si="1"/>
        <v>0</v>
      </c>
    </row>
    <row r="74" spans="1:29" s="9" customFormat="1" ht="12">
      <c r="A74" s="9" t="s">
        <v>116</v>
      </c>
      <c r="C74" s="9" t="s">
        <v>117</v>
      </c>
      <c r="E74" s="9">
        <v>342842</v>
      </c>
      <c r="G74" s="9">
        <v>0</v>
      </c>
      <c r="I74" s="9">
        <f>1038172-342842-29557</f>
        <v>665773</v>
      </c>
      <c r="K74" s="9">
        <v>0</v>
      </c>
      <c r="M74" s="9">
        <v>0</v>
      </c>
      <c r="O74" s="9">
        <v>0</v>
      </c>
      <c r="Q74" s="9">
        <v>29557</v>
      </c>
      <c r="S74" s="9">
        <v>0</v>
      </c>
      <c r="U74" s="9">
        <v>0</v>
      </c>
      <c r="W74" s="9">
        <v>100000</v>
      </c>
      <c r="Y74" s="9">
        <v>0</v>
      </c>
      <c r="AA74" s="9">
        <v>0</v>
      </c>
      <c r="AC74" s="9">
        <f t="shared" si="1"/>
        <v>1138172</v>
      </c>
    </row>
    <row r="75" spans="1:54" s="9" customFormat="1" ht="12">
      <c r="A75" s="3" t="s">
        <v>118</v>
      </c>
      <c r="B75" s="3"/>
      <c r="C75" s="3" t="s">
        <v>51</v>
      </c>
      <c r="D75" s="3"/>
      <c r="E75" s="3">
        <v>362364.62</v>
      </c>
      <c r="F75" s="3"/>
      <c r="G75" s="3">
        <v>116729.34</v>
      </c>
      <c r="H75" s="3"/>
      <c r="I75" s="3">
        <v>124630.53</v>
      </c>
      <c r="J75" s="3"/>
      <c r="K75" s="3">
        <v>88326.13</v>
      </c>
      <c r="L75" s="3"/>
      <c r="M75" s="3">
        <v>26841.22</v>
      </c>
      <c r="N75" s="3"/>
      <c r="O75" s="3">
        <v>15400.28</v>
      </c>
      <c r="P75" s="3"/>
      <c r="Q75" s="3">
        <v>762071.4</v>
      </c>
      <c r="R75" s="3"/>
      <c r="S75" s="3">
        <v>0</v>
      </c>
      <c r="T75" s="3"/>
      <c r="U75" s="3">
        <v>0</v>
      </c>
      <c r="V75" s="3"/>
      <c r="W75" s="3">
        <v>0</v>
      </c>
      <c r="X75" s="3"/>
      <c r="Y75" s="3">
        <v>0</v>
      </c>
      <c r="Z75" s="3"/>
      <c r="AA75" s="3">
        <v>0</v>
      </c>
      <c r="AB75" s="3"/>
      <c r="AC75" s="3">
        <f t="shared" si="1"/>
        <v>1496363.52</v>
      </c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</row>
    <row r="76" spans="1:29" s="9" customFormat="1" ht="12">
      <c r="A76" s="9" t="s">
        <v>119</v>
      </c>
      <c r="C76" s="9" t="s">
        <v>17</v>
      </c>
      <c r="E76" s="9">
        <v>116280</v>
      </c>
      <c r="G76" s="9">
        <v>25465</v>
      </c>
      <c r="I76" s="9">
        <v>18421</v>
      </c>
      <c r="K76" s="9">
        <v>35887</v>
      </c>
      <c r="M76" s="9">
        <v>6452</v>
      </c>
      <c r="O76" s="9">
        <v>2563</v>
      </c>
      <c r="Q76" s="9">
        <v>4194</v>
      </c>
      <c r="S76" s="9">
        <v>0</v>
      </c>
      <c r="U76" s="9">
        <v>0</v>
      </c>
      <c r="W76" s="9">
        <v>0</v>
      </c>
      <c r="Y76" s="3">
        <v>0</v>
      </c>
      <c r="Z76" s="3"/>
      <c r="AA76" s="3">
        <v>0</v>
      </c>
      <c r="AC76" s="9">
        <f t="shared" si="1"/>
        <v>209262</v>
      </c>
    </row>
    <row r="77" spans="1:29" s="9" customFormat="1" ht="12" hidden="1">
      <c r="A77" s="9" t="s">
        <v>151</v>
      </c>
      <c r="C77" s="9" t="s">
        <v>56</v>
      </c>
      <c r="E77" s="3">
        <v>0</v>
      </c>
      <c r="F77" s="3"/>
      <c r="G77" s="3">
        <v>0</v>
      </c>
      <c r="H77" s="3"/>
      <c r="I77" s="3">
        <v>0</v>
      </c>
      <c r="J77" s="3"/>
      <c r="K77" s="3">
        <v>0</v>
      </c>
      <c r="L77" s="3"/>
      <c r="M77" s="3">
        <v>0</v>
      </c>
      <c r="N77" s="3"/>
      <c r="O77" s="3">
        <v>0</v>
      </c>
      <c r="P77" s="3"/>
      <c r="Q77" s="3">
        <v>0</v>
      </c>
      <c r="R77" s="3"/>
      <c r="S77" s="3">
        <v>0</v>
      </c>
      <c r="T77" s="3"/>
      <c r="U77" s="3">
        <v>0</v>
      </c>
      <c r="V77" s="3"/>
      <c r="W77" s="3">
        <v>0</v>
      </c>
      <c r="X77" s="3"/>
      <c r="Y77" s="3">
        <v>0</v>
      </c>
      <c r="Z77" s="3"/>
      <c r="AA77" s="3">
        <v>0</v>
      </c>
      <c r="AC77" s="9">
        <f aca="true" t="shared" si="2" ref="AC77:AC108">SUM(E77:AA77)</f>
        <v>0</v>
      </c>
    </row>
    <row r="78" spans="1:29" s="9" customFormat="1" ht="12" hidden="1">
      <c r="A78" s="9" t="s">
        <v>152</v>
      </c>
      <c r="C78" s="9" t="s">
        <v>64</v>
      </c>
      <c r="E78" s="3">
        <v>0</v>
      </c>
      <c r="F78" s="3"/>
      <c r="G78" s="3">
        <v>0</v>
      </c>
      <c r="H78" s="3"/>
      <c r="I78" s="3">
        <v>0</v>
      </c>
      <c r="J78" s="3"/>
      <c r="K78" s="3">
        <v>0</v>
      </c>
      <c r="L78" s="3"/>
      <c r="M78" s="3">
        <v>0</v>
      </c>
      <c r="N78" s="3"/>
      <c r="O78" s="3">
        <v>0</v>
      </c>
      <c r="P78" s="3"/>
      <c r="Q78" s="3">
        <v>0</v>
      </c>
      <c r="R78" s="3"/>
      <c r="S78" s="3">
        <v>0</v>
      </c>
      <c r="T78" s="3"/>
      <c r="U78" s="3">
        <v>0</v>
      </c>
      <c r="V78" s="3"/>
      <c r="W78" s="3">
        <v>0</v>
      </c>
      <c r="X78" s="3"/>
      <c r="Y78" s="3">
        <v>0</v>
      </c>
      <c r="Z78" s="3"/>
      <c r="AA78" s="3">
        <v>0</v>
      </c>
      <c r="AC78" s="9">
        <f t="shared" si="2"/>
        <v>0</v>
      </c>
    </row>
    <row r="79" spans="1:29" s="9" customFormat="1" ht="12">
      <c r="A79" s="9" t="s">
        <v>345</v>
      </c>
      <c r="C79" s="9" t="s">
        <v>65</v>
      </c>
      <c r="E79" s="9">
        <v>486203</v>
      </c>
      <c r="G79" s="9">
        <v>104285</v>
      </c>
      <c r="I79" s="9">
        <v>212995</v>
      </c>
      <c r="K79" s="9">
        <v>142579</v>
      </c>
      <c r="M79" s="9">
        <v>27259</v>
      </c>
      <c r="O79" s="9">
        <v>4696</v>
      </c>
      <c r="Q79" s="9">
        <v>28936</v>
      </c>
      <c r="S79" s="9">
        <v>0</v>
      </c>
      <c r="U79" s="9">
        <v>0</v>
      </c>
      <c r="V79" s="3"/>
      <c r="W79" s="3">
        <v>40000</v>
      </c>
      <c r="X79" s="3"/>
      <c r="Y79" s="3">
        <v>0</v>
      </c>
      <c r="Z79" s="3"/>
      <c r="AA79" s="3">
        <v>0</v>
      </c>
      <c r="AC79" s="9">
        <f t="shared" si="2"/>
        <v>1046953</v>
      </c>
    </row>
    <row r="80" spans="1:29" s="9" customFormat="1" ht="12" hidden="1">
      <c r="A80" s="9" t="s">
        <v>154</v>
      </c>
      <c r="C80" s="9" t="s">
        <v>57</v>
      </c>
      <c r="E80" s="3">
        <v>0</v>
      </c>
      <c r="F80" s="3"/>
      <c r="G80" s="3">
        <v>0</v>
      </c>
      <c r="H80" s="3"/>
      <c r="I80" s="3">
        <v>0</v>
      </c>
      <c r="J80" s="3"/>
      <c r="K80" s="3">
        <v>0</v>
      </c>
      <c r="L80" s="3"/>
      <c r="M80" s="3">
        <v>0</v>
      </c>
      <c r="N80" s="3"/>
      <c r="O80" s="3">
        <v>0</v>
      </c>
      <c r="P80" s="3"/>
      <c r="Q80" s="3">
        <v>0</v>
      </c>
      <c r="R80" s="3"/>
      <c r="S80" s="3">
        <v>0</v>
      </c>
      <c r="T80" s="3"/>
      <c r="U80" s="3">
        <v>0</v>
      </c>
      <c r="V80" s="3"/>
      <c r="W80" s="3">
        <v>0</v>
      </c>
      <c r="X80" s="3"/>
      <c r="Y80" s="3">
        <v>0</v>
      </c>
      <c r="Z80" s="3"/>
      <c r="AA80" s="3">
        <v>0</v>
      </c>
      <c r="AC80" s="9">
        <f t="shared" si="2"/>
        <v>0</v>
      </c>
    </row>
    <row r="81" spans="1:29" s="9" customFormat="1" ht="12" hidden="1">
      <c r="A81" s="9" t="s">
        <v>155</v>
      </c>
      <c r="C81" s="9" t="s">
        <v>55</v>
      </c>
      <c r="E81" s="3">
        <v>0</v>
      </c>
      <c r="F81" s="3"/>
      <c r="G81" s="3">
        <v>0</v>
      </c>
      <c r="H81" s="3"/>
      <c r="I81" s="3">
        <v>0</v>
      </c>
      <c r="J81" s="3"/>
      <c r="K81" s="3">
        <v>0</v>
      </c>
      <c r="L81" s="3"/>
      <c r="M81" s="3">
        <v>0</v>
      </c>
      <c r="N81" s="3"/>
      <c r="O81" s="3">
        <v>0</v>
      </c>
      <c r="P81" s="3"/>
      <c r="Q81" s="3">
        <v>0</v>
      </c>
      <c r="R81" s="3"/>
      <c r="S81" s="3">
        <v>0</v>
      </c>
      <c r="T81" s="3"/>
      <c r="U81" s="3">
        <v>0</v>
      </c>
      <c r="V81" s="3"/>
      <c r="W81" s="3">
        <v>0</v>
      </c>
      <c r="X81" s="3"/>
      <c r="Y81" s="3">
        <v>0</v>
      </c>
      <c r="Z81" s="3"/>
      <c r="AA81" s="3">
        <v>0</v>
      </c>
      <c r="AC81" s="9">
        <f t="shared" si="2"/>
        <v>0</v>
      </c>
    </row>
    <row r="82" spans="1:54" s="9" customFormat="1" ht="12">
      <c r="A82" s="3" t="s">
        <v>121</v>
      </c>
      <c r="B82" s="3"/>
      <c r="C82" s="3" t="s">
        <v>52</v>
      </c>
      <c r="D82" s="3"/>
      <c r="E82" s="3">
        <v>1425722.62</v>
      </c>
      <c r="F82" s="3"/>
      <c r="G82" s="3">
        <v>466130.46</v>
      </c>
      <c r="H82" s="3"/>
      <c r="I82" s="3">
        <v>463459.51</v>
      </c>
      <c r="J82" s="3"/>
      <c r="K82" s="3">
        <v>378003.43</v>
      </c>
      <c r="L82" s="3"/>
      <c r="M82" s="3">
        <v>85356.24</v>
      </c>
      <c r="N82" s="3"/>
      <c r="O82" s="3">
        <v>9436.83</v>
      </c>
      <c r="P82" s="3"/>
      <c r="Q82" s="3">
        <v>47870.08</v>
      </c>
      <c r="R82" s="3"/>
      <c r="S82" s="3">
        <v>0</v>
      </c>
      <c r="T82" s="3"/>
      <c r="U82" s="3">
        <v>0</v>
      </c>
      <c r="V82" s="3"/>
      <c r="W82" s="3">
        <v>0</v>
      </c>
      <c r="X82" s="3"/>
      <c r="Y82" s="3">
        <v>0</v>
      </c>
      <c r="Z82" s="3"/>
      <c r="AA82" s="3">
        <v>0</v>
      </c>
      <c r="AB82" s="3"/>
      <c r="AC82" s="3">
        <f t="shared" si="2"/>
        <v>2875979.1700000004</v>
      </c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</row>
    <row r="83" spans="1:29" s="9" customFormat="1" ht="12" hidden="1">
      <c r="A83" s="9" t="s">
        <v>158</v>
      </c>
      <c r="C83" s="9" t="s">
        <v>18</v>
      </c>
      <c r="E83" s="3">
        <v>0</v>
      </c>
      <c r="F83" s="3"/>
      <c r="G83" s="3">
        <v>0</v>
      </c>
      <c r="H83" s="3"/>
      <c r="I83" s="3">
        <v>0</v>
      </c>
      <c r="J83" s="3"/>
      <c r="K83" s="3">
        <v>0</v>
      </c>
      <c r="L83" s="3"/>
      <c r="M83" s="3">
        <v>0</v>
      </c>
      <c r="N83" s="3"/>
      <c r="O83" s="3">
        <v>0</v>
      </c>
      <c r="P83" s="3"/>
      <c r="Q83" s="3">
        <v>0</v>
      </c>
      <c r="R83" s="3"/>
      <c r="S83" s="3">
        <v>0</v>
      </c>
      <c r="T83" s="3"/>
      <c r="U83" s="3">
        <v>0</v>
      </c>
      <c r="V83" s="3"/>
      <c r="W83" s="3">
        <v>0</v>
      </c>
      <c r="X83" s="3"/>
      <c r="Y83" s="3">
        <v>0</v>
      </c>
      <c r="Z83" s="3"/>
      <c r="AA83" s="3">
        <v>0</v>
      </c>
      <c r="AC83" s="9">
        <f t="shared" si="2"/>
        <v>0</v>
      </c>
    </row>
    <row r="84" spans="1:29" s="9" customFormat="1" ht="12" hidden="1">
      <c r="A84" s="9" t="s">
        <v>159</v>
      </c>
      <c r="C84" s="9" t="s">
        <v>58</v>
      </c>
      <c r="E84" s="3">
        <v>0</v>
      </c>
      <c r="F84" s="3"/>
      <c r="G84" s="3">
        <v>0</v>
      </c>
      <c r="H84" s="3"/>
      <c r="I84" s="3">
        <v>0</v>
      </c>
      <c r="J84" s="3"/>
      <c r="K84" s="3">
        <v>0</v>
      </c>
      <c r="L84" s="3"/>
      <c r="M84" s="3">
        <v>0</v>
      </c>
      <c r="N84" s="3"/>
      <c r="O84" s="3">
        <v>0</v>
      </c>
      <c r="P84" s="3"/>
      <c r="Q84" s="3">
        <v>0</v>
      </c>
      <c r="R84" s="3"/>
      <c r="S84" s="3">
        <v>0</v>
      </c>
      <c r="T84" s="3"/>
      <c r="U84" s="3">
        <v>0</v>
      </c>
      <c r="V84" s="3"/>
      <c r="W84" s="3">
        <v>0</v>
      </c>
      <c r="X84" s="3"/>
      <c r="Y84" s="3">
        <v>0</v>
      </c>
      <c r="Z84" s="3"/>
      <c r="AA84" s="3">
        <v>0</v>
      </c>
      <c r="AC84" s="9">
        <f t="shared" si="2"/>
        <v>0</v>
      </c>
    </row>
    <row r="85" spans="1:29" s="9" customFormat="1" ht="12" hidden="1">
      <c r="A85" s="9" t="s">
        <v>37</v>
      </c>
      <c r="C85" s="9" t="s">
        <v>59</v>
      </c>
      <c r="E85" s="3">
        <v>0</v>
      </c>
      <c r="F85" s="3"/>
      <c r="G85" s="3">
        <v>0</v>
      </c>
      <c r="H85" s="3"/>
      <c r="I85" s="3">
        <v>0</v>
      </c>
      <c r="J85" s="3"/>
      <c r="K85" s="3">
        <v>0</v>
      </c>
      <c r="L85" s="3"/>
      <c r="M85" s="3">
        <v>0</v>
      </c>
      <c r="N85" s="3"/>
      <c r="O85" s="3">
        <v>0</v>
      </c>
      <c r="P85" s="3"/>
      <c r="Q85" s="3">
        <v>0</v>
      </c>
      <c r="R85" s="3"/>
      <c r="S85" s="3">
        <v>0</v>
      </c>
      <c r="T85" s="3"/>
      <c r="U85" s="3">
        <v>0</v>
      </c>
      <c r="V85" s="3"/>
      <c r="W85" s="3">
        <v>0</v>
      </c>
      <c r="X85" s="3"/>
      <c r="Y85" s="3">
        <v>0</v>
      </c>
      <c r="Z85" s="3"/>
      <c r="AA85" s="3">
        <v>0</v>
      </c>
      <c r="AC85" s="9">
        <f t="shared" si="2"/>
        <v>0</v>
      </c>
    </row>
    <row r="86" spans="1:29" s="9" customFormat="1" ht="12" hidden="1">
      <c r="A86" s="9" t="s">
        <v>38</v>
      </c>
      <c r="C86" s="9" t="s">
        <v>27</v>
      </c>
      <c r="E86" s="3">
        <v>0</v>
      </c>
      <c r="F86" s="3"/>
      <c r="G86" s="3">
        <v>0</v>
      </c>
      <c r="H86" s="3"/>
      <c r="I86" s="3">
        <v>0</v>
      </c>
      <c r="J86" s="3"/>
      <c r="K86" s="3">
        <v>0</v>
      </c>
      <c r="L86" s="3"/>
      <c r="M86" s="3">
        <v>0</v>
      </c>
      <c r="N86" s="3"/>
      <c r="O86" s="3">
        <v>0</v>
      </c>
      <c r="P86" s="3"/>
      <c r="Q86" s="3">
        <v>0</v>
      </c>
      <c r="R86" s="3"/>
      <c r="S86" s="3">
        <v>0</v>
      </c>
      <c r="T86" s="3"/>
      <c r="U86" s="3">
        <v>0</v>
      </c>
      <c r="V86" s="3"/>
      <c r="W86" s="3">
        <v>0</v>
      </c>
      <c r="X86" s="3"/>
      <c r="Y86" s="3">
        <v>0</v>
      </c>
      <c r="Z86" s="3"/>
      <c r="AA86" s="3">
        <v>0</v>
      </c>
      <c r="AC86" s="9">
        <f t="shared" si="2"/>
        <v>0</v>
      </c>
    </row>
    <row r="87" spans="1:29" s="9" customFormat="1" ht="12" hidden="1">
      <c r="A87" s="9" t="s">
        <v>160</v>
      </c>
      <c r="C87" s="9" t="s">
        <v>60</v>
      </c>
      <c r="E87" s="3">
        <v>0</v>
      </c>
      <c r="F87" s="3"/>
      <c r="G87" s="3">
        <v>0</v>
      </c>
      <c r="H87" s="3"/>
      <c r="I87" s="3">
        <v>0</v>
      </c>
      <c r="J87" s="3"/>
      <c r="K87" s="3">
        <v>0</v>
      </c>
      <c r="L87" s="3"/>
      <c r="M87" s="3">
        <v>0</v>
      </c>
      <c r="N87" s="3"/>
      <c r="O87" s="3">
        <v>0</v>
      </c>
      <c r="P87" s="3"/>
      <c r="Q87" s="3">
        <v>0</v>
      </c>
      <c r="R87" s="3"/>
      <c r="S87" s="3">
        <v>0</v>
      </c>
      <c r="T87" s="3"/>
      <c r="U87" s="3">
        <v>0</v>
      </c>
      <c r="V87" s="3"/>
      <c r="W87" s="3">
        <v>0</v>
      </c>
      <c r="X87" s="3"/>
      <c r="Y87" s="3">
        <v>0</v>
      </c>
      <c r="Z87" s="3"/>
      <c r="AA87" s="3">
        <v>0</v>
      </c>
      <c r="AC87" s="9">
        <f t="shared" si="2"/>
        <v>0</v>
      </c>
    </row>
    <row r="88" spans="1:29" s="9" customFormat="1" ht="12" hidden="1">
      <c r="A88" s="9" t="s">
        <v>350</v>
      </c>
      <c r="C88" s="9" t="s">
        <v>46</v>
      </c>
      <c r="E88" s="3">
        <v>0</v>
      </c>
      <c r="F88" s="3"/>
      <c r="G88" s="3">
        <v>0</v>
      </c>
      <c r="H88" s="3"/>
      <c r="I88" s="3">
        <v>0</v>
      </c>
      <c r="J88" s="3"/>
      <c r="K88" s="3">
        <v>0</v>
      </c>
      <c r="L88" s="3"/>
      <c r="M88" s="3">
        <v>0</v>
      </c>
      <c r="N88" s="3"/>
      <c r="O88" s="3">
        <v>0</v>
      </c>
      <c r="P88" s="3"/>
      <c r="Q88" s="3">
        <v>0</v>
      </c>
      <c r="R88" s="3"/>
      <c r="S88" s="3">
        <v>0</v>
      </c>
      <c r="T88" s="3"/>
      <c r="U88" s="3">
        <v>0</v>
      </c>
      <c r="V88" s="3"/>
      <c r="W88" s="3">
        <v>0</v>
      </c>
      <c r="X88" s="3"/>
      <c r="Y88" s="3">
        <v>0</v>
      </c>
      <c r="Z88" s="3"/>
      <c r="AA88" s="3">
        <v>0</v>
      </c>
      <c r="AC88" s="9">
        <f t="shared" si="2"/>
        <v>0</v>
      </c>
    </row>
    <row r="89" spans="1:29" s="9" customFormat="1" ht="12">
      <c r="A89" s="9" t="s">
        <v>122</v>
      </c>
      <c r="C89" s="9" t="s">
        <v>123</v>
      </c>
      <c r="E89" s="9">
        <v>2560037</v>
      </c>
      <c r="G89" s="9">
        <v>1028518</v>
      </c>
      <c r="I89" s="9">
        <v>1086983</v>
      </c>
      <c r="K89" s="9">
        <v>1274955</v>
      </c>
      <c r="M89" s="9">
        <v>175435</v>
      </c>
      <c r="O89" s="9">
        <v>19533</v>
      </c>
      <c r="Q89" s="9">
        <v>920276</v>
      </c>
      <c r="S89" s="9">
        <v>0</v>
      </c>
      <c r="U89" s="9">
        <v>0</v>
      </c>
      <c r="W89" s="9">
        <v>957406</v>
      </c>
      <c r="Y89" s="3">
        <v>0</v>
      </c>
      <c r="Z89" s="3"/>
      <c r="AA89" s="3">
        <v>0</v>
      </c>
      <c r="AC89" s="9">
        <f t="shared" si="2"/>
        <v>8023143</v>
      </c>
    </row>
    <row r="90" spans="1:54" s="9" customFormat="1" ht="12">
      <c r="A90" s="3" t="s">
        <v>347</v>
      </c>
      <c r="B90" s="3"/>
      <c r="C90" s="3" t="s">
        <v>27</v>
      </c>
      <c r="D90" s="3"/>
      <c r="E90" s="3">
        <v>241777.71</v>
      </c>
      <c r="F90" s="3"/>
      <c r="G90" s="3">
        <v>67157.29</v>
      </c>
      <c r="H90" s="3"/>
      <c r="I90" s="3">
        <v>57360.86</v>
      </c>
      <c r="J90" s="3"/>
      <c r="K90" s="3">
        <v>106892.38</v>
      </c>
      <c r="L90" s="3"/>
      <c r="M90" s="3">
        <v>14222.19</v>
      </c>
      <c r="N90" s="3"/>
      <c r="O90" s="3">
        <v>5317.09</v>
      </c>
      <c r="P90" s="3"/>
      <c r="Q90" s="3">
        <v>54054.66</v>
      </c>
      <c r="R90" s="3"/>
      <c r="S90" s="3">
        <v>0</v>
      </c>
      <c r="T90" s="3"/>
      <c r="U90" s="3">
        <v>0</v>
      </c>
      <c r="V90" s="3"/>
      <c r="W90" s="3">
        <v>0</v>
      </c>
      <c r="X90" s="3"/>
      <c r="Y90" s="3">
        <v>0</v>
      </c>
      <c r="Z90" s="3"/>
      <c r="AA90" s="3">
        <v>0</v>
      </c>
      <c r="AB90" s="3"/>
      <c r="AC90" s="3">
        <f t="shared" si="2"/>
        <v>546782.18</v>
      </c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</row>
    <row r="91" spans="1:29" s="9" customFormat="1" ht="12">
      <c r="A91" s="9" t="s">
        <v>125</v>
      </c>
      <c r="C91" s="9" t="s">
        <v>126</v>
      </c>
      <c r="E91" s="9">
        <v>588161</v>
      </c>
      <c r="G91" s="9">
        <v>0</v>
      </c>
      <c r="I91" s="9">
        <f>7613675-588161-199753-209000-155149</f>
        <v>6461612</v>
      </c>
      <c r="K91" s="9">
        <v>0</v>
      </c>
      <c r="M91" s="9">
        <v>0</v>
      </c>
      <c r="O91" s="9">
        <v>0</v>
      </c>
      <c r="Q91" s="9">
        <v>199753</v>
      </c>
      <c r="S91" s="9">
        <v>209000</v>
      </c>
      <c r="U91" s="9">
        <v>155149</v>
      </c>
      <c r="W91" s="9">
        <v>398789</v>
      </c>
      <c r="Y91" s="9">
        <v>41368</v>
      </c>
      <c r="AA91" s="9">
        <v>12551</v>
      </c>
      <c r="AC91" s="9">
        <f t="shared" si="2"/>
        <v>8066383</v>
      </c>
    </row>
    <row r="92" spans="1:29" s="9" customFormat="1" ht="12" hidden="1">
      <c r="A92" s="9" t="s">
        <v>166</v>
      </c>
      <c r="C92" s="9" t="s">
        <v>84</v>
      </c>
      <c r="E92" s="3">
        <v>0</v>
      </c>
      <c r="F92" s="3"/>
      <c r="G92" s="3">
        <v>0</v>
      </c>
      <c r="H92" s="3"/>
      <c r="I92" s="3">
        <v>0</v>
      </c>
      <c r="J92" s="3"/>
      <c r="K92" s="3">
        <v>0</v>
      </c>
      <c r="L92" s="3"/>
      <c r="M92" s="3">
        <v>0</v>
      </c>
      <c r="N92" s="3"/>
      <c r="O92" s="3">
        <v>0</v>
      </c>
      <c r="P92" s="3"/>
      <c r="Q92" s="3">
        <v>0</v>
      </c>
      <c r="R92" s="3"/>
      <c r="S92" s="3">
        <v>0</v>
      </c>
      <c r="T92" s="3"/>
      <c r="U92" s="3">
        <v>0</v>
      </c>
      <c r="V92" s="3"/>
      <c r="W92" s="3">
        <v>0</v>
      </c>
      <c r="X92" s="3"/>
      <c r="Y92" s="3">
        <v>0</v>
      </c>
      <c r="Z92" s="3"/>
      <c r="AA92" s="3">
        <v>0</v>
      </c>
      <c r="AC92" s="9">
        <f t="shared" si="2"/>
        <v>0</v>
      </c>
    </row>
    <row r="93" spans="1:29" s="9" customFormat="1" ht="12">
      <c r="A93" s="9" t="s">
        <v>483</v>
      </c>
      <c r="C93" s="9" t="s">
        <v>20</v>
      </c>
      <c r="E93" s="9">
        <v>1577507</v>
      </c>
      <c r="G93" s="9">
        <v>0</v>
      </c>
      <c r="I93" s="9">
        <v>6202089</v>
      </c>
      <c r="K93" s="9">
        <v>0</v>
      </c>
      <c r="M93" s="9">
        <v>0</v>
      </c>
      <c r="O93" s="9">
        <v>0</v>
      </c>
      <c r="Q93" s="9">
        <v>1574996</v>
      </c>
      <c r="S93" s="9">
        <v>79224</v>
      </c>
      <c r="U93" s="9">
        <v>34084</v>
      </c>
      <c r="W93" s="9">
        <v>612489</v>
      </c>
      <c r="X93" s="3"/>
      <c r="Y93" s="3">
        <v>0</v>
      </c>
      <c r="Z93" s="3"/>
      <c r="AA93" s="3">
        <v>0</v>
      </c>
      <c r="AC93" s="9">
        <f t="shared" si="2"/>
        <v>10080389</v>
      </c>
    </row>
    <row r="94" spans="1:29" s="9" customFormat="1" ht="12">
      <c r="A94" s="9" t="s">
        <v>484</v>
      </c>
      <c r="C94" s="9" t="s">
        <v>20</v>
      </c>
      <c r="E94" s="9">
        <v>0</v>
      </c>
      <c r="G94" s="9">
        <v>0</v>
      </c>
      <c r="I94" s="9">
        <f>67555340-2060308</f>
        <v>65495032</v>
      </c>
      <c r="K94" s="9">
        <v>0</v>
      </c>
      <c r="M94" s="9">
        <v>0</v>
      </c>
      <c r="O94" s="9">
        <v>0</v>
      </c>
      <c r="Q94" s="9">
        <v>2060308</v>
      </c>
      <c r="S94" s="9">
        <v>0</v>
      </c>
      <c r="U94" s="9">
        <v>0</v>
      </c>
      <c r="W94" s="9">
        <v>3003575</v>
      </c>
      <c r="X94" s="3"/>
      <c r="Y94" s="3">
        <v>0</v>
      </c>
      <c r="Z94" s="3"/>
      <c r="AA94" s="3">
        <v>0</v>
      </c>
      <c r="AC94" s="9">
        <f t="shared" si="2"/>
        <v>70558915</v>
      </c>
    </row>
    <row r="95" spans="1:54" s="9" customFormat="1" ht="12">
      <c r="A95" s="3" t="s">
        <v>516</v>
      </c>
      <c r="B95" s="3"/>
      <c r="C95" s="3" t="s">
        <v>100</v>
      </c>
      <c r="D95" s="3"/>
      <c r="E95" s="3">
        <v>265220.44</v>
      </c>
      <c r="F95" s="3"/>
      <c r="G95" s="3">
        <v>50625.92</v>
      </c>
      <c r="H95" s="3"/>
      <c r="I95" s="3">
        <v>72231.17</v>
      </c>
      <c r="J95" s="3"/>
      <c r="K95" s="3">
        <v>89241.73</v>
      </c>
      <c r="L95" s="3"/>
      <c r="M95" s="3">
        <v>25770.67</v>
      </c>
      <c r="N95" s="3"/>
      <c r="O95" s="3">
        <v>8519.83</v>
      </c>
      <c r="P95" s="3"/>
      <c r="Q95" s="3">
        <v>11624.74</v>
      </c>
      <c r="R95" s="3"/>
      <c r="S95" s="3">
        <v>50571.2</v>
      </c>
      <c r="T95" s="3"/>
      <c r="U95" s="3">
        <v>25018.46</v>
      </c>
      <c r="V95" s="3"/>
      <c r="W95" s="3">
        <v>75589.66</v>
      </c>
      <c r="X95" s="3"/>
      <c r="Y95" s="3">
        <v>0</v>
      </c>
      <c r="Z95" s="3"/>
      <c r="AA95" s="3">
        <v>0</v>
      </c>
      <c r="AB95" s="3"/>
      <c r="AC95" s="3">
        <f t="shared" si="2"/>
        <v>674413.82</v>
      </c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</row>
    <row r="96" spans="1:29" s="9" customFormat="1" ht="12" hidden="1">
      <c r="A96" s="9" t="s">
        <v>351</v>
      </c>
      <c r="C96" s="9" t="s">
        <v>46</v>
      </c>
      <c r="E96" s="3">
        <v>0</v>
      </c>
      <c r="F96" s="3"/>
      <c r="G96" s="3">
        <v>0</v>
      </c>
      <c r="H96" s="3"/>
      <c r="I96" s="3">
        <v>0</v>
      </c>
      <c r="J96" s="3"/>
      <c r="K96" s="3">
        <v>0</v>
      </c>
      <c r="L96" s="3"/>
      <c r="M96" s="3">
        <v>0</v>
      </c>
      <c r="N96" s="3"/>
      <c r="O96" s="3">
        <v>0</v>
      </c>
      <c r="P96" s="3"/>
      <c r="Q96" s="3">
        <v>0</v>
      </c>
      <c r="R96" s="3"/>
      <c r="S96" s="3">
        <v>0</v>
      </c>
      <c r="T96" s="3"/>
      <c r="U96" s="3">
        <v>0</v>
      </c>
      <c r="V96" s="3"/>
      <c r="W96" s="3">
        <v>0</v>
      </c>
      <c r="X96" s="3"/>
      <c r="Y96" s="3">
        <v>0</v>
      </c>
      <c r="Z96" s="3"/>
      <c r="AA96" s="3">
        <v>0</v>
      </c>
      <c r="AC96" s="9">
        <f t="shared" si="2"/>
        <v>0</v>
      </c>
    </row>
    <row r="97" spans="1:54" s="9" customFormat="1" ht="12">
      <c r="A97" s="3" t="s">
        <v>578</v>
      </c>
      <c r="B97" s="3"/>
      <c r="C97" s="3" t="s">
        <v>53</v>
      </c>
      <c r="D97" s="3"/>
      <c r="E97" s="3">
        <v>134829.55</v>
      </c>
      <c r="F97" s="3"/>
      <c r="G97" s="3">
        <v>38898.31</v>
      </c>
      <c r="H97" s="3"/>
      <c r="I97" s="3">
        <v>47272.24</v>
      </c>
      <c r="J97" s="3"/>
      <c r="K97" s="3">
        <v>35359.27</v>
      </c>
      <c r="L97" s="3"/>
      <c r="M97" s="3">
        <v>5749.46</v>
      </c>
      <c r="N97" s="3"/>
      <c r="O97" s="3">
        <v>2142.69</v>
      </c>
      <c r="P97" s="3"/>
      <c r="Q97" s="3">
        <v>16352.09</v>
      </c>
      <c r="R97" s="3"/>
      <c r="S97" s="3">
        <v>0</v>
      </c>
      <c r="T97" s="3"/>
      <c r="U97" s="3">
        <v>0</v>
      </c>
      <c r="V97" s="3"/>
      <c r="W97" s="3">
        <v>0</v>
      </c>
      <c r="X97" s="3"/>
      <c r="Y97" s="3">
        <v>0</v>
      </c>
      <c r="Z97" s="3"/>
      <c r="AA97" s="3">
        <v>0</v>
      </c>
      <c r="AB97" s="3"/>
      <c r="AC97" s="3">
        <f t="shared" si="2"/>
        <v>280603.61</v>
      </c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</row>
    <row r="98" spans="1:29" s="9" customFormat="1" ht="12" hidden="1">
      <c r="A98" s="9" t="s">
        <v>39</v>
      </c>
      <c r="C98" s="9" t="s">
        <v>60</v>
      </c>
      <c r="E98" s="3">
        <v>0</v>
      </c>
      <c r="F98" s="3"/>
      <c r="G98" s="3">
        <v>0</v>
      </c>
      <c r="H98" s="3"/>
      <c r="I98" s="3">
        <v>0</v>
      </c>
      <c r="J98" s="3"/>
      <c r="K98" s="3">
        <v>0</v>
      </c>
      <c r="L98" s="3"/>
      <c r="M98" s="3">
        <v>0</v>
      </c>
      <c r="N98" s="3"/>
      <c r="O98" s="3">
        <v>0</v>
      </c>
      <c r="P98" s="3"/>
      <c r="Q98" s="3">
        <v>0</v>
      </c>
      <c r="R98" s="3"/>
      <c r="S98" s="3">
        <v>0</v>
      </c>
      <c r="T98" s="3"/>
      <c r="U98" s="3">
        <v>0</v>
      </c>
      <c r="V98" s="3"/>
      <c r="W98" s="3">
        <v>0</v>
      </c>
      <c r="X98" s="3"/>
      <c r="Y98" s="3">
        <v>0</v>
      </c>
      <c r="Z98" s="3"/>
      <c r="AA98" s="3">
        <v>0</v>
      </c>
      <c r="AC98" s="9">
        <f t="shared" si="2"/>
        <v>0</v>
      </c>
    </row>
    <row r="99" spans="1:29" s="9" customFormat="1" ht="12" hidden="1">
      <c r="A99" s="9" t="s">
        <v>400</v>
      </c>
      <c r="C99" s="9" t="s">
        <v>61</v>
      </c>
      <c r="E99" s="3">
        <v>0</v>
      </c>
      <c r="F99" s="3"/>
      <c r="G99" s="3">
        <v>0</v>
      </c>
      <c r="H99" s="3"/>
      <c r="I99" s="3">
        <v>0</v>
      </c>
      <c r="J99" s="3"/>
      <c r="K99" s="3">
        <v>0</v>
      </c>
      <c r="L99" s="3"/>
      <c r="M99" s="3">
        <v>0</v>
      </c>
      <c r="N99" s="3"/>
      <c r="O99" s="3">
        <v>0</v>
      </c>
      <c r="P99" s="3"/>
      <c r="Q99" s="3">
        <v>0</v>
      </c>
      <c r="R99" s="3"/>
      <c r="S99" s="3">
        <v>0</v>
      </c>
      <c r="T99" s="3"/>
      <c r="U99" s="3">
        <v>0</v>
      </c>
      <c r="V99" s="3"/>
      <c r="W99" s="3">
        <v>0</v>
      </c>
      <c r="X99" s="3"/>
      <c r="Y99" s="3">
        <v>0</v>
      </c>
      <c r="Z99" s="3"/>
      <c r="AA99" s="3">
        <v>0</v>
      </c>
      <c r="AC99" s="9">
        <f t="shared" si="2"/>
        <v>0</v>
      </c>
    </row>
    <row r="100" spans="1:29" s="9" customFormat="1" ht="12" hidden="1">
      <c r="A100" s="9" t="s">
        <v>177</v>
      </c>
      <c r="C100" s="9" t="s">
        <v>63</v>
      </c>
      <c r="E100" s="3">
        <v>0</v>
      </c>
      <c r="F100" s="3"/>
      <c r="G100" s="3">
        <v>0</v>
      </c>
      <c r="H100" s="3"/>
      <c r="I100" s="3">
        <v>0</v>
      </c>
      <c r="J100" s="3"/>
      <c r="K100" s="3">
        <v>0</v>
      </c>
      <c r="L100" s="3"/>
      <c r="M100" s="3">
        <v>0</v>
      </c>
      <c r="N100" s="3"/>
      <c r="O100" s="3">
        <v>0</v>
      </c>
      <c r="P100" s="3"/>
      <c r="Q100" s="3">
        <v>0</v>
      </c>
      <c r="R100" s="3"/>
      <c r="S100" s="3">
        <v>0</v>
      </c>
      <c r="T100" s="3"/>
      <c r="U100" s="3">
        <v>0</v>
      </c>
      <c r="V100" s="3"/>
      <c r="W100" s="3">
        <v>0</v>
      </c>
      <c r="X100" s="3"/>
      <c r="Y100" s="3">
        <v>0</v>
      </c>
      <c r="Z100" s="3"/>
      <c r="AA100" s="3">
        <v>0</v>
      </c>
      <c r="AC100" s="9">
        <f t="shared" si="2"/>
        <v>0</v>
      </c>
    </row>
    <row r="101" spans="1:29" s="9" customFormat="1" ht="12" hidden="1">
      <c r="A101" s="9" t="s">
        <v>352</v>
      </c>
      <c r="C101" s="9" t="s">
        <v>178</v>
      </c>
      <c r="E101" s="3">
        <v>0</v>
      </c>
      <c r="F101" s="3"/>
      <c r="G101" s="3">
        <v>0</v>
      </c>
      <c r="H101" s="3"/>
      <c r="I101" s="3">
        <v>0</v>
      </c>
      <c r="J101" s="3"/>
      <c r="K101" s="3">
        <v>0</v>
      </c>
      <c r="L101" s="3"/>
      <c r="M101" s="3">
        <v>0</v>
      </c>
      <c r="N101" s="3"/>
      <c r="O101" s="3">
        <v>0</v>
      </c>
      <c r="P101" s="3"/>
      <c r="Q101" s="3">
        <v>0</v>
      </c>
      <c r="R101" s="3"/>
      <c r="S101" s="3">
        <v>0</v>
      </c>
      <c r="T101" s="3"/>
      <c r="U101" s="3">
        <v>0</v>
      </c>
      <c r="V101" s="3"/>
      <c r="W101" s="3">
        <v>0</v>
      </c>
      <c r="X101" s="3"/>
      <c r="Y101" s="3">
        <v>0</v>
      </c>
      <c r="Z101" s="3"/>
      <c r="AA101" s="3">
        <v>0</v>
      </c>
      <c r="AC101" s="9">
        <f t="shared" si="2"/>
        <v>0</v>
      </c>
    </row>
    <row r="102" spans="1:29" s="9" customFormat="1" ht="12" hidden="1">
      <c r="A102" s="9" t="s">
        <v>353</v>
      </c>
      <c r="C102" s="9" t="s">
        <v>44</v>
      </c>
      <c r="E102" s="3">
        <v>0</v>
      </c>
      <c r="F102" s="3"/>
      <c r="G102" s="3">
        <v>0</v>
      </c>
      <c r="H102" s="3"/>
      <c r="I102" s="3">
        <v>0</v>
      </c>
      <c r="J102" s="3"/>
      <c r="K102" s="3">
        <v>0</v>
      </c>
      <c r="L102" s="3"/>
      <c r="M102" s="3">
        <v>0</v>
      </c>
      <c r="N102" s="3"/>
      <c r="O102" s="3">
        <v>0</v>
      </c>
      <c r="P102" s="3"/>
      <c r="Q102" s="3">
        <v>0</v>
      </c>
      <c r="R102" s="3"/>
      <c r="S102" s="3">
        <v>0</v>
      </c>
      <c r="T102" s="3"/>
      <c r="U102" s="3">
        <v>0</v>
      </c>
      <c r="V102" s="3"/>
      <c r="W102" s="3">
        <v>0</v>
      </c>
      <c r="X102" s="3"/>
      <c r="Y102" s="3">
        <v>0</v>
      </c>
      <c r="Z102" s="3"/>
      <c r="AA102" s="3">
        <v>0</v>
      </c>
      <c r="AC102" s="9">
        <f t="shared" si="2"/>
        <v>0</v>
      </c>
    </row>
    <row r="103" spans="1:29" s="9" customFormat="1" ht="12" hidden="1">
      <c r="A103" s="9" t="s">
        <v>179</v>
      </c>
      <c r="C103" s="9" t="s">
        <v>59</v>
      </c>
      <c r="E103" s="3">
        <v>0</v>
      </c>
      <c r="F103" s="3"/>
      <c r="G103" s="3">
        <v>0</v>
      </c>
      <c r="H103" s="3"/>
      <c r="I103" s="3">
        <v>0</v>
      </c>
      <c r="J103" s="3"/>
      <c r="K103" s="3">
        <v>0</v>
      </c>
      <c r="L103" s="3"/>
      <c r="M103" s="3">
        <v>0</v>
      </c>
      <c r="N103" s="3"/>
      <c r="O103" s="3">
        <v>0</v>
      </c>
      <c r="P103" s="3"/>
      <c r="Q103" s="3">
        <v>0</v>
      </c>
      <c r="R103" s="3"/>
      <c r="S103" s="3">
        <v>0</v>
      </c>
      <c r="T103" s="3"/>
      <c r="U103" s="3">
        <v>0</v>
      </c>
      <c r="V103" s="3"/>
      <c r="W103" s="3">
        <v>0</v>
      </c>
      <c r="X103" s="3"/>
      <c r="Y103" s="3">
        <v>0</v>
      </c>
      <c r="Z103" s="3"/>
      <c r="AA103" s="3">
        <v>0</v>
      </c>
      <c r="AC103" s="9">
        <f t="shared" si="2"/>
        <v>0</v>
      </c>
    </row>
    <row r="104" spans="1:54" s="9" customFormat="1" ht="12">
      <c r="A104" s="3" t="s">
        <v>518</v>
      </c>
      <c r="B104" s="3"/>
      <c r="C104" s="3" t="s">
        <v>54</v>
      </c>
      <c r="D104" s="3"/>
      <c r="E104" s="3">
        <v>332854.55</v>
      </c>
      <c r="F104" s="3"/>
      <c r="G104" s="3">
        <v>68849.52</v>
      </c>
      <c r="H104" s="3"/>
      <c r="I104" s="3">
        <v>95297.17</v>
      </c>
      <c r="J104" s="3"/>
      <c r="K104" s="3">
        <v>153949.26</v>
      </c>
      <c r="L104" s="3"/>
      <c r="M104" s="3">
        <v>19219.37</v>
      </c>
      <c r="N104" s="3"/>
      <c r="O104" s="3">
        <v>6758.99</v>
      </c>
      <c r="P104" s="3"/>
      <c r="Q104" s="3">
        <v>127144.91</v>
      </c>
      <c r="R104" s="3"/>
      <c r="S104" s="3">
        <v>0</v>
      </c>
      <c r="T104" s="3"/>
      <c r="U104" s="3">
        <v>0</v>
      </c>
      <c r="V104" s="3"/>
      <c r="W104" s="3">
        <v>100000</v>
      </c>
      <c r="X104" s="3"/>
      <c r="Y104" s="3">
        <v>0</v>
      </c>
      <c r="Z104" s="3"/>
      <c r="AA104" s="3">
        <v>0</v>
      </c>
      <c r="AB104" s="3"/>
      <c r="AC104" s="3">
        <f t="shared" si="2"/>
        <v>904073.77</v>
      </c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</row>
    <row r="105" spans="1:29" s="9" customFormat="1" ht="12">
      <c r="A105" s="9" t="s">
        <v>128</v>
      </c>
      <c r="C105" s="9" t="s">
        <v>98</v>
      </c>
      <c r="E105" s="9">
        <v>24789129</v>
      </c>
      <c r="G105" s="9">
        <v>6656132</v>
      </c>
      <c r="I105" s="9">
        <v>10090266</v>
      </c>
      <c r="K105" s="9">
        <v>6400575</v>
      </c>
      <c r="M105" s="9">
        <v>1699314</v>
      </c>
      <c r="O105" s="9">
        <v>778222</v>
      </c>
      <c r="Q105" s="9">
        <v>2338080</v>
      </c>
      <c r="S105" s="9">
        <v>0</v>
      </c>
      <c r="U105" s="9">
        <v>0</v>
      </c>
      <c r="W105" s="9">
        <v>2480342</v>
      </c>
      <c r="X105" s="3"/>
      <c r="Y105" s="3">
        <v>0</v>
      </c>
      <c r="Z105" s="3"/>
      <c r="AA105" s="3">
        <v>0</v>
      </c>
      <c r="AC105" s="9">
        <f t="shared" si="2"/>
        <v>55232060</v>
      </c>
    </row>
    <row r="106" spans="1:29" s="9" customFormat="1" ht="12" hidden="1">
      <c r="A106" s="9" t="s">
        <v>40</v>
      </c>
      <c r="C106" s="9" t="s">
        <v>13</v>
      </c>
      <c r="E106" s="3">
        <v>0</v>
      </c>
      <c r="F106" s="3"/>
      <c r="G106" s="3">
        <v>0</v>
      </c>
      <c r="H106" s="3"/>
      <c r="I106" s="3">
        <v>0</v>
      </c>
      <c r="J106" s="3"/>
      <c r="K106" s="3">
        <v>0</v>
      </c>
      <c r="L106" s="3"/>
      <c r="M106" s="3">
        <v>0</v>
      </c>
      <c r="N106" s="3"/>
      <c r="O106" s="3">
        <v>0</v>
      </c>
      <c r="P106" s="3"/>
      <c r="Q106" s="3">
        <v>0</v>
      </c>
      <c r="R106" s="3"/>
      <c r="S106" s="3">
        <v>0</v>
      </c>
      <c r="T106" s="3"/>
      <c r="U106" s="3">
        <v>0</v>
      </c>
      <c r="V106" s="3"/>
      <c r="W106" s="3">
        <v>0</v>
      </c>
      <c r="X106" s="3"/>
      <c r="Y106" s="3">
        <v>0</v>
      </c>
      <c r="Z106" s="3"/>
      <c r="AA106" s="3">
        <v>0</v>
      </c>
      <c r="AC106" s="9">
        <f t="shared" si="2"/>
        <v>0</v>
      </c>
    </row>
    <row r="107" spans="1:54" s="9" customFormat="1" ht="12">
      <c r="A107" s="3" t="s">
        <v>519</v>
      </c>
      <c r="B107" s="3"/>
      <c r="C107" s="3" t="s">
        <v>73</v>
      </c>
      <c r="D107" s="3"/>
      <c r="E107" s="3">
        <v>393716.93</v>
      </c>
      <c r="F107" s="3"/>
      <c r="G107" s="3">
        <v>109429.74</v>
      </c>
      <c r="H107" s="3"/>
      <c r="I107" s="3">
        <v>110938.73</v>
      </c>
      <c r="J107" s="3"/>
      <c r="K107" s="3">
        <v>65079.98</v>
      </c>
      <c r="L107" s="3"/>
      <c r="M107" s="3">
        <v>14299.15</v>
      </c>
      <c r="N107" s="3"/>
      <c r="O107" s="3">
        <v>1772</v>
      </c>
      <c r="P107" s="3"/>
      <c r="Q107" s="3">
        <v>32874.02</v>
      </c>
      <c r="R107" s="3"/>
      <c r="S107" s="3">
        <v>0</v>
      </c>
      <c r="T107" s="3"/>
      <c r="U107" s="3">
        <v>0</v>
      </c>
      <c r="V107" s="3"/>
      <c r="W107" s="3">
        <v>0</v>
      </c>
      <c r="X107" s="3"/>
      <c r="Y107" s="3">
        <v>0</v>
      </c>
      <c r="Z107" s="3"/>
      <c r="AA107" s="3">
        <v>0</v>
      </c>
      <c r="AB107" s="3"/>
      <c r="AC107" s="3">
        <f t="shared" si="2"/>
        <v>728110.55</v>
      </c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</row>
    <row r="108" spans="1:29" s="9" customFormat="1" ht="12" hidden="1">
      <c r="A108" s="9" t="s">
        <v>389</v>
      </c>
      <c r="C108" s="9" t="s">
        <v>56</v>
      </c>
      <c r="E108" s="3">
        <v>0</v>
      </c>
      <c r="F108" s="3"/>
      <c r="G108" s="3">
        <v>0</v>
      </c>
      <c r="H108" s="3"/>
      <c r="I108" s="3">
        <v>0</v>
      </c>
      <c r="J108" s="3"/>
      <c r="K108" s="3">
        <v>0</v>
      </c>
      <c r="L108" s="3"/>
      <c r="M108" s="3">
        <v>0</v>
      </c>
      <c r="N108" s="3"/>
      <c r="O108" s="3">
        <v>0</v>
      </c>
      <c r="P108" s="3"/>
      <c r="Q108" s="3">
        <v>0</v>
      </c>
      <c r="R108" s="3"/>
      <c r="S108" s="3">
        <v>0</v>
      </c>
      <c r="T108" s="3"/>
      <c r="U108" s="3">
        <v>0</v>
      </c>
      <c r="V108" s="3"/>
      <c r="W108" s="3">
        <v>0</v>
      </c>
      <c r="X108" s="3"/>
      <c r="Y108" s="3">
        <v>0</v>
      </c>
      <c r="Z108" s="3"/>
      <c r="AA108" s="3">
        <v>0</v>
      </c>
      <c r="AC108" s="9">
        <f t="shared" si="2"/>
        <v>0</v>
      </c>
    </row>
    <row r="109" spans="1:29" s="9" customFormat="1" ht="12" hidden="1">
      <c r="A109" s="9" t="s">
        <v>185</v>
      </c>
      <c r="C109" s="9" t="s">
        <v>186</v>
      </c>
      <c r="E109" s="3">
        <v>0</v>
      </c>
      <c r="F109" s="3"/>
      <c r="G109" s="3">
        <v>0</v>
      </c>
      <c r="H109" s="3"/>
      <c r="I109" s="3">
        <v>0</v>
      </c>
      <c r="J109" s="3"/>
      <c r="K109" s="3">
        <v>0</v>
      </c>
      <c r="L109" s="3"/>
      <c r="M109" s="3">
        <v>0</v>
      </c>
      <c r="N109" s="3"/>
      <c r="O109" s="3">
        <v>0</v>
      </c>
      <c r="P109" s="3"/>
      <c r="Q109" s="3">
        <v>0</v>
      </c>
      <c r="R109" s="3"/>
      <c r="S109" s="3">
        <v>0</v>
      </c>
      <c r="T109" s="3"/>
      <c r="U109" s="3">
        <v>0</v>
      </c>
      <c r="V109" s="3"/>
      <c r="W109" s="3">
        <v>0</v>
      </c>
      <c r="X109" s="3"/>
      <c r="Y109" s="3">
        <v>0</v>
      </c>
      <c r="Z109" s="3"/>
      <c r="AA109" s="3">
        <v>0</v>
      </c>
      <c r="AC109" s="9">
        <f aca="true" t="shared" si="3" ref="AC109:AC140">SUM(E109:AA109)</f>
        <v>0</v>
      </c>
    </row>
    <row r="110" spans="1:29" s="9" customFormat="1" ht="12" hidden="1">
      <c r="A110" s="9" t="s">
        <v>387</v>
      </c>
      <c r="C110" s="9" t="s">
        <v>62</v>
      </c>
      <c r="E110" s="3">
        <v>0</v>
      </c>
      <c r="F110" s="3"/>
      <c r="G110" s="3">
        <v>0</v>
      </c>
      <c r="H110" s="3"/>
      <c r="I110" s="3">
        <v>0</v>
      </c>
      <c r="J110" s="3"/>
      <c r="K110" s="3">
        <v>0</v>
      </c>
      <c r="L110" s="3"/>
      <c r="M110" s="3">
        <v>0</v>
      </c>
      <c r="N110" s="3"/>
      <c r="O110" s="3">
        <v>0</v>
      </c>
      <c r="P110" s="3"/>
      <c r="Q110" s="3">
        <v>0</v>
      </c>
      <c r="R110" s="3"/>
      <c r="S110" s="3">
        <v>0</v>
      </c>
      <c r="T110" s="3"/>
      <c r="U110" s="3">
        <v>0</v>
      </c>
      <c r="V110" s="3"/>
      <c r="W110" s="3">
        <v>0</v>
      </c>
      <c r="X110" s="3"/>
      <c r="Y110" s="3">
        <v>0</v>
      </c>
      <c r="Z110" s="3"/>
      <c r="AA110" s="3">
        <v>0</v>
      </c>
      <c r="AC110" s="9">
        <f t="shared" si="3"/>
        <v>0</v>
      </c>
    </row>
    <row r="111" spans="1:29" s="9" customFormat="1" ht="12">
      <c r="A111" s="9" t="s">
        <v>129</v>
      </c>
      <c r="C111" s="9" t="s">
        <v>46</v>
      </c>
      <c r="E111" s="9">
        <v>331615</v>
      </c>
      <c r="G111" s="9">
        <v>93520</v>
      </c>
      <c r="I111" s="9">
        <v>54728</v>
      </c>
      <c r="K111" s="9">
        <v>101226</v>
      </c>
      <c r="M111" s="9">
        <v>26009</v>
      </c>
      <c r="O111" s="9">
        <v>10984</v>
      </c>
      <c r="Q111" s="9">
        <v>19207</v>
      </c>
      <c r="R111" s="3"/>
      <c r="S111" s="3">
        <v>0</v>
      </c>
      <c r="T111" s="3"/>
      <c r="U111" s="3">
        <v>0</v>
      </c>
      <c r="V111" s="3"/>
      <c r="W111" s="3">
        <v>0</v>
      </c>
      <c r="X111" s="3"/>
      <c r="Y111" s="3">
        <v>0</v>
      </c>
      <c r="Z111" s="3"/>
      <c r="AA111" s="3">
        <v>0</v>
      </c>
      <c r="AC111" s="9">
        <f t="shared" si="3"/>
        <v>637289</v>
      </c>
    </row>
    <row r="112" spans="1:29" s="9" customFormat="1" ht="12" hidden="1">
      <c r="A112" s="9" t="s">
        <v>189</v>
      </c>
      <c r="C112" s="9" t="s">
        <v>190</v>
      </c>
      <c r="E112" s="3">
        <v>0</v>
      </c>
      <c r="F112" s="3"/>
      <c r="G112" s="3">
        <v>0</v>
      </c>
      <c r="H112" s="3"/>
      <c r="I112" s="3">
        <v>0</v>
      </c>
      <c r="J112" s="3"/>
      <c r="K112" s="3">
        <v>0</v>
      </c>
      <c r="L112" s="3"/>
      <c r="M112" s="3">
        <v>0</v>
      </c>
      <c r="N112" s="3"/>
      <c r="O112" s="3">
        <v>0</v>
      </c>
      <c r="P112" s="3"/>
      <c r="Q112" s="3">
        <v>0</v>
      </c>
      <c r="R112" s="3"/>
      <c r="S112" s="3">
        <v>0</v>
      </c>
      <c r="T112" s="3"/>
      <c r="U112" s="3">
        <v>0</v>
      </c>
      <c r="V112" s="3"/>
      <c r="W112" s="3">
        <v>0</v>
      </c>
      <c r="X112" s="3"/>
      <c r="Y112" s="3">
        <v>0</v>
      </c>
      <c r="Z112" s="3"/>
      <c r="AA112" s="3">
        <v>0</v>
      </c>
      <c r="AC112" s="9">
        <f t="shared" si="3"/>
        <v>0</v>
      </c>
    </row>
    <row r="113" spans="1:29" s="9" customFormat="1" ht="12" hidden="1">
      <c r="A113" s="9" t="s">
        <v>191</v>
      </c>
      <c r="C113" s="9" t="s">
        <v>46</v>
      </c>
      <c r="E113" s="3">
        <v>0</v>
      </c>
      <c r="F113" s="3"/>
      <c r="G113" s="3">
        <v>0</v>
      </c>
      <c r="H113" s="3"/>
      <c r="I113" s="3">
        <v>0</v>
      </c>
      <c r="J113" s="3"/>
      <c r="K113" s="3">
        <v>0</v>
      </c>
      <c r="L113" s="3"/>
      <c r="M113" s="3">
        <v>0</v>
      </c>
      <c r="N113" s="3"/>
      <c r="O113" s="3">
        <v>0</v>
      </c>
      <c r="P113" s="3"/>
      <c r="Q113" s="3">
        <v>0</v>
      </c>
      <c r="R113" s="3"/>
      <c r="S113" s="3">
        <v>0</v>
      </c>
      <c r="T113" s="3"/>
      <c r="U113" s="3">
        <v>0</v>
      </c>
      <c r="V113" s="3"/>
      <c r="W113" s="3">
        <v>0</v>
      </c>
      <c r="X113" s="3"/>
      <c r="Y113" s="3">
        <v>0</v>
      </c>
      <c r="Z113" s="3"/>
      <c r="AA113" s="3">
        <v>0</v>
      </c>
      <c r="AC113" s="9">
        <f t="shared" si="3"/>
        <v>0</v>
      </c>
    </row>
    <row r="114" spans="1:29" s="9" customFormat="1" ht="12" hidden="1">
      <c r="A114" s="9" t="s">
        <v>192</v>
      </c>
      <c r="C114" s="9" t="s">
        <v>59</v>
      </c>
      <c r="E114" s="3">
        <v>0</v>
      </c>
      <c r="F114" s="3"/>
      <c r="G114" s="3">
        <v>0</v>
      </c>
      <c r="H114" s="3"/>
      <c r="I114" s="3">
        <v>0</v>
      </c>
      <c r="J114" s="3"/>
      <c r="K114" s="3">
        <v>0</v>
      </c>
      <c r="L114" s="3"/>
      <c r="M114" s="3">
        <v>0</v>
      </c>
      <c r="N114" s="3"/>
      <c r="O114" s="3">
        <v>0</v>
      </c>
      <c r="P114" s="3"/>
      <c r="Q114" s="3">
        <v>0</v>
      </c>
      <c r="R114" s="3"/>
      <c r="S114" s="3">
        <v>0</v>
      </c>
      <c r="T114" s="3"/>
      <c r="U114" s="3">
        <v>0</v>
      </c>
      <c r="V114" s="3"/>
      <c r="W114" s="3">
        <v>0</v>
      </c>
      <c r="X114" s="3"/>
      <c r="Y114" s="3">
        <v>0</v>
      </c>
      <c r="Z114" s="3"/>
      <c r="AA114" s="3">
        <v>0</v>
      </c>
      <c r="AC114" s="9">
        <f t="shared" si="3"/>
        <v>0</v>
      </c>
    </row>
    <row r="115" spans="1:29" s="9" customFormat="1" ht="12" hidden="1">
      <c r="A115" s="9" t="s">
        <v>193</v>
      </c>
      <c r="C115" s="9" t="s">
        <v>16</v>
      </c>
      <c r="E115" s="3">
        <v>0</v>
      </c>
      <c r="F115" s="3"/>
      <c r="G115" s="3">
        <v>0</v>
      </c>
      <c r="H115" s="3"/>
      <c r="I115" s="3">
        <v>0</v>
      </c>
      <c r="J115" s="3"/>
      <c r="K115" s="3">
        <v>0</v>
      </c>
      <c r="L115" s="3"/>
      <c r="M115" s="3">
        <v>0</v>
      </c>
      <c r="N115" s="3"/>
      <c r="O115" s="3">
        <v>0</v>
      </c>
      <c r="P115" s="3"/>
      <c r="Q115" s="3">
        <v>0</v>
      </c>
      <c r="R115" s="3"/>
      <c r="S115" s="3">
        <v>0</v>
      </c>
      <c r="T115" s="3"/>
      <c r="U115" s="3">
        <v>0</v>
      </c>
      <c r="V115" s="3"/>
      <c r="W115" s="3">
        <v>0</v>
      </c>
      <c r="X115" s="3"/>
      <c r="Y115" s="3">
        <v>0</v>
      </c>
      <c r="Z115" s="3"/>
      <c r="AA115" s="3">
        <v>0</v>
      </c>
      <c r="AC115" s="9">
        <f t="shared" si="3"/>
        <v>0</v>
      </c>
    </row>
    <row r="116" spans="1:29" s="9" customFormat="1" ht="12">
      <c r="A116" s="9" t="s">
        <v>130</v>
      </c>
      <c r="C116" s="9" t="s">
        <v>131</v>
      </c>
      <c r="E116" s="9">
        <v>837640</v>
      </c>
      <c r="G116" s="9">
        <v>213613</v>
      </c>
      <c r="I116" s="9">
        <v>215194</v>
      </c>
      <c r="K116" s="9">
        <v>206370</v>
      </c>
      <c r="M116" s="9">
        <v>39222</v>
      </c>
      <c r="O116" s="9">
        <v>10642</v>
      </c>
      <c r="Q116" s="9">
        <v>78260</v>
      </c>
      <c r="S116" s="9">
        <v>0</v>
      </c>
      <c r="U116" s="9">
        <v>0</v>
      </c>
      <c r="W116" s="9">
        <v>103080</v>
      </c>
      <c r="X116" s="3"/>
      <c r="Y116" s="3">
        <v>0</v>
      </c>
      <c r="Z116" s="3"/>
      <c r="AA116" s="3">
        <v>0</v>
      </c>
      <c r="AC116" s="9">
        <f t="shared" si="3"/>
        <v>1704021</v>
      </c>
    </row>
    <row r="117" spans="1:54" s="9" customFormat="1" ht="12">
      <c r="A117" s="3" t="s">
        <v>132</v>
      </c>
      <c r="B117" s="3"/>
      <c r="C117" s="3" t="s">
        <v>55</v>
      </c>
      <c r="D117" s="3"/>
      <c r="E117" s="3">
        <v>231082</v>
      </c>
      <c r="F117" s="3"/>
      <c r="G117" s="3">
        <v>37115.68</v>
      </c>
      <c r="H117" s="3"/>
      <c r="I117" s="3">
        <v>83269.73</v>
      </c>
      <c r="J117" s="3"/>
      <c r="K117" s="3">
        <v>102327.49</v>
      </c>
      <c r="L117" s="3"/>
      <c r="M117" s="3">
        <v>25369.76</v>
      </c>
      <c r="N117" s="3"/>
      <c r="O117" s="3">
        <v>3810.77</v>
      </c>
      <c r="P117" s="3"/>
      <c r="Q117" s="3">
        <v>50514.87</v>
      </c>
      <c r="R117" s="3"/>
      <c r="S117" s="3">
        <v>0</v>
      </c>
      <c r="T117" s="3"/>
      <c r="U117" s="3">
        <v>0</v>
      </c>
      <c r="V117" s="3"/>
      <c r="W117" s="3">
        <v>0</v>
      </c>
      <c r="X117" s="3"/>
      <c r="Y117" s="3">
        <v>0</v>
      </c>
      <c r="Z117" s="3"/>
      <c r="AA117" s="3">
        <v>0</v>
      </c>
      <c r="AB117" s="3"/>
      <c r="AC117" s="3">
        <f t="shared" si="3"/>
        <v>533490.3</v>
      </c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</row>
    <row r="118" spans="1:29" s="9" customFormat="1" ht="12" hidden="1">
      <c r="A118" s="9" t="s">
        <v>194</v>
      </c>
      <c r="C118" s="9" t="s">
        <v>57</v>
      </c>
      <c r="E118" s="3">
        <v>0</v>
      </c>
      <c r="F118" s="3"/>
      <c r="G118" s="3">
        <v>0</v>
      </c>
      <c r="H118" s="3"/>
      <c r="I118" s="3">
        <v>0</v>
      </c>
      <c r="J118" s="3"/>
      <c r="K118" s="3">
        <v>0</v>
      </c>
      <c r="L118" s="3"/>
      <c r="M118" s="3">
        <v>0</v>
      </c>
      <c r="N118" s="3"/>
      <c r="O118" s="3">
        <v>0</v>
      </c>
      <c r="P118" s="3"/>
      <c r="Q118" s="3">
        <v>0</v>
      </c>
      <c r="R118" s="3"/>
      <c r="S118" s="3">
        <v>0</v>
      </c>
      <c r="T118" s="3"/>
      <c r="U118" s="3">
        <v>0</v>
      </c>
      <c r="V118" s="3"/>
      <c r="W118" s="3">
        <v>0</v>
      </c>
      <c r="X118" s="3"/>
      <c r="Y118" s="3">
        <v>0</v>
      </c>
      <c r="Z118" s="3"/>
      <c r="AA118" s="3">
        <v>0</v>
      </c>
      <c r="AC118" s="9">
        <f t="shared" si="3"/>
        <v>0</v>
      </c>
    </row>
    <row r="119" spans="1:29" s="9" customFormat="1" ht="12" hidden="1">
      <c r="A119" s="9" t="s">
        <v>354</v>
      </c>
      <c r="C119" s="9" t="s">
        <v>54</v>
      </c>
      <c r="E119" s="3">
        <v>0</v>
      </c>
      <c r="F119" s="3"/>
      <c r="G119" s="3">
        <v>0</v>
      </c>
      <c r="H119" s="3"/>
      <c r="I119" s="3">
        <v>0</v>
      </c>
      <c r="J119" s="3"/>
      <c r="K119" s="3">
        <v>0</v>
      </c>
      <c r="L119" s="3"/>
      <c r="M119" s="3">
        <v>0</v>
      </c>
      <c r="N119" s="3"/>
      <c r="O119" s="3">
        <v>0</v>
      </c>
      <c r="P119" s="3"/>
      <c r="Q119" s="3">
        <v>0</v>
      </c>
      <c r="R119" s="3"/>
      <c r="S119" s="3">
        <v>0</v>
      </c>
      <c r="T119" s="3"/>
      <c r="U119" s="3">
        <v>0</v>
      </c>
      <c r="V119" s="3"/>
      <c r="W119" s="3">
        <v>0</v>
      </c>
      <c r="X119" s="3"/>
      <c r="Y119" s="3">
        <v>0</v>
      </c>
      <c r="Z119" s="3"/>
      <c r="AA119" s="3">
        <v>0</v>
      </c>
      <c r="AC119" s="9">
        <f t="shared" si="3"/>
        <v>0</v>
      </c>
    </row>
    <row r="120" spans="1:29" s="9" customFormat="1" ht="12" hidden="1">
      <c r="A120" s="9" t="s">
        <v>196</v>
      </c>
      <c r="C120" s="9" t="s">
        <v>54</v>
      </c>
      <c r="E120" s="3">
        <v>0</v>
      </c>
      <c r="F120" s="3"/>
      <c r="G120" s="3">
        <v>0</v>
      </c>
      <c r="H120" s="3"/>
      <c r="I120" s="3">
        <v>0</v>
      </c>
      <c r="J120" s="3"/>
      <c r="K120" s="3">
        <v>0</v>
      </c>
      <c r="L120" s="3"/>
      <c r="M120" s="3">
        <v>0</v>
      </c>
      <c r="N120" s="3"/>
      <c r="O120" s="3">
        <v>0</v>
      </c>
      <c r="P120" s="3"/>
      <c r="Q120" s="3">
        <v>0</v>
      </c>
      <c r="R120" s="3"/>
      <c r="S120" s="3">
        <v>0</v>
      </c>
      <c r="T120" s="3"/>
      <c r="U120" s="3">
        <v>0</v>
      </c>
      <c r="V120" s="3"/>
      <c r="W120" s="3">
        <v>0</v>
      </c>
      <c r="X120" s="3"/>
      <c r="Y120" s="3">
        <v>0</v>
      </c>
      <c r="Z120" s="3"/>
      <c r="AA120" s="3">
        <v>0</v>
      </c>
      <c r="AC120" s="9">
        <f t="shared" si="3"/>
        <v>0</v>
      </c>
    </row>
    <row r="121" spans="1:29" s="9" customFormat="1" ht="12" hidden="1">
      <c r="A121" s="9" t="s">
        <v>197</v>
      </c>
      <c r="C121" s="9" t="s">
        <v>63</v>
      </c>
      <c r="E121" s="3">
        <v>0</v>
      </c>
      <c r="F121" s="3"/>
      <c r="G121" s="3">
        <v>0</v>
      </c>
      <c r="H121" s="3"/>
      <c r="I121" s="3">
        <v>0</v>
      </c>
      <c r="J121" s="3"/>
      <c r="K121" s="3">
        <v>0</v>
      </c>
      <c r="L121" s="3"/>
      <c r="M121" s="3">
        <v>0</v>
      </c>
      <c r="N121" s="3"/>
      <c r="O121" s="3">
        <v>0</v>
      </c>
      <c r="P121" s="3"/>
      <c r="Q121" s="3">
        <v>0</v>
      </c>
      <c r="R121" s="3"/>
      <c r="S121" s="3">
        <v>0</v>
      </c>
      <c r="T121" s="3"/>
      <c r="U121" s="3">
        <v>0</v>
      </c>
      <c r="V121" s="3"/>
      <c r="W121" s="3">
        <v>0</v>
      </c>
      <c r="X121" s="3"/>
      <c r="Y121" s="3">
        <v>0</v>
      </c>
      <c r="Z121" s="3"/>
      <c r="AA121" s="3">
        <v>0</v>
      </c>
      <c r="AC121" s="9">
        <f t="shared" si="3"/>
        <v>0</v>
      </c>
    </row>
    <row r="122" spans="1:29" s="9" customFormat="1" ht="12">
      <c r="A122" s="9" t="s">
        <v>133</v>
      </c>
      <c r="C122" s="9" t="s">
        <v>20</v>
      </c>
      <c r="E122" s="9">
        <v>12243521</v>
      </c>
      <c r="G122" s="9">
        <v>0</v>
      </c>
      <c r="I122" s="9">
        <f>62696808-12243521-2865062</f>
        <v>47588225</v>
      </c>
      <c r="K122" s="9">
        <v>0</v>
      </c>
      <c r="M122" s="9">
        <v>0</v>
      </c>
      <c r="O122" s="9">
        <v>0</v>
      </c>
      <c r="Q122" s="9">
        <v>2865062</v>
      </c>
      <c r="S122" s="9">
        <v>0</v>
      </c>
      <c r="U122" s="9">
        <v>0</v>
      </c>
      <c r="W122" s="9">
        <v>5209195</v>
      </c>
      <c r="X122" s="3"/>
      <c r="Y122" s="3">
        <v>30000</v>
      </c>
      <c r="Z122" s="3"/>
      <c r="AA122" s="3">
        <v>0</v>
      </c>
      <c r="AC122" s="9">
        <f t="shared" si="3"/>
        <v>67936003</v>
      </c>
    </row>
    <row r="123" spans="1:29" s="9" customFormat="1" ht="12">
      <c r="A123" s="9" t="s">
        <v>134</v>
      </c>
      <c r="C123" s="9" t="s">
        <v>58</v>
      </c>
      <c r="E123" s="9">
        <v>2936278</v>
      </c>
      <c r="G123" s="9">
        <v>0</v>
      </c>
      <c r="I123" s="9">
        <f>27900623-1280981-2936278</f>
        <v>23683364</v>
      </c>
      <c r="K123" s="9">
        <v>0</v>
      </c>
      <c r="M123" s="9">
        <v>0</v>
      </c>
      <c r="O123" s="9">
        <v>0</v>
      </c>
      <c r="Q123" s="9">
        <v>1280981</v>
      </c>
      <c r="S123" s="9">
        <v>0</v>
      </c>
      <c r="U123" s="9">
        <v>0</v>
      </c>
      <c r="W123" s="9">
        <v>4143566</v>
      </c>
      <c r="X123" s="3"/>
      <c r="Y123" s="3">
        <v>0</v>
      </c>
      <c r="Z123" s="3"/>
      <c r="AA123" s="3">
        <v>0</v>
      </c>
      <c r="AC123" s="9">
        <f t="shared" si="3"/>
        <v>32044189</v>
      </c>
    </row>
    <row r="124" spans="1:29" s="9" customFormat="1" ht="12">
      <c r="A124" s="9" t="s">
        <v>135</v>
      </c>
      <c r="C124" s="9" t="s">
        <v>136</v>
      </c>
      <c r="E124" s="9">
        <v>743177</v>
      </c>
      <c r="G124" s="9">
        <v>220446</v>
      </c>
      <c r="I124" s="9">
        <v>281750</v>
      </c>
      <c r="K124" s="9">
        <v>169166</v>
      </c>
      <c r="M124" s="9">
        <v>38773</v>
      </c>
      <c r="O124" s="9">
        <v>8914</v>
      </c>
      <c r="Q124" s="9">
        <v>25639</v>
      </c>
      <c r="S124" s="9">
        <v>0</v>
      </c>
      <c r="U124" s="9">
        <v>0</v>
      </c>
      <c r="V124" s="3"/>
      <c r="W124" s="3">
        <v>0</v>
      </c>
      <c r="X124" s="3"/>
      <c r="Y124" s="3">
        <v>0</v>
      </c>
      <c r="Z124" s="3"/>
      <c r="AA124" s="3">
        <v>0</v>
      </c>
      <c r="AC124" s="9">
        <f t="shared" si="3"/>
        <v>1487865</v>
      </c>
    </row>
    <row r="125" spans="1:29" s="9" customFormat="1" ht="12">
      <c r="A125" s="9" t="s">
        <v>137</v>
      </c>
      <c r="C125" s="9" t="s">
        <v>73</v>
      </c>
      <c r="E125" s="9">
        <v>1559682</v>
      </c>
      <c r="G125" s="9">
        <v>0</v>
      </c>
      <c r="I125" s="9">
        <v>293002</v>
      </c>
      <c r="K125" s="9">
        <v>382232</v>
      </c>
      <c r="M125" s="9">
        <v>95916</v>
      </c>
      <c r="O125" s="9">
        <v>16405</v>
      </c>
      <c r="Q125" s="9">
        <v>101081</v>
      </c>
      <c r="S125" s="9">
        <v>13588</v>
      </c>
      <c r="U125" s="9">
        <v>291887</v>
      </c>
      <c r="W125" s="9">
        <v>0</v>
      </c>
      <c r="Y125" s="3">
        <v>0</v>
      </c>
      <c r="Z125" s="3"/>
      <c r="AA125" s="3">
        <v>0</v>
      </c>
      <c r="AC125" s="9">
        <f t="shared" si="3"/>
        <v>2753793</v>
      </c>
    </row>
    <row r="126" spans="1:54" s="9" customFormat="1" ht="12">
      <c r="A126" s="3" t="s">
        <v>138</v>
      </c>
      <c r="B126" s="3"/>
      <c r="C126" s="3" t="s">
        <v>104</v>
      </c>
      <c r="D126" s="3"/>
      <c r="E126" s="3">
        <v>252287.52</v>
      </c>
      <c r="F126" s="3"/>
      <c r="G126" s="3">
        <v>38561.49</v>
      </c>
      <c r="H126" s="3"/>
      <c r="I126" s="3">
        <v>52155.02</v>
      </c>
      <c r="J126" s="3"/>
      <c r="K126" s="3">
        <v>120086.85</v>
      </c>
      <c r="L126" s="3"/>
      <c r="M126" s="3">
        <v>20684.24</v>
      </c>
      <c r="N126" s="3"/>
      <c r="O126" s="3">
        <v>7082</v>
      </c>
      <c r="P126" s="3"/>
      <c r="Q126" s="3">
        <v>26833.86</v>
      </c>
      <c r="R126" s="3"/>
      <c r="S126" s="3">
        <v>0</v>
      </c>
      <c r="T126" s="3"/>
      <c r="U126" s="3">
        <v>0</v>
      </c>
      <c r="V126" s="3"/>
      <c r="W126" s="3">
        <v>14754.02</v>
      </c>
      <c r="X126" s="3"/>
      <c r="Y126" s="3">
        <v>0</v>
      </c>
      <c r="Z126" s="3"/>
      <c r="AA126" s="3">
        <v>0</v>
      </c>
      <c r="AB126" s="3"/>
      <c r="AC126" s="3">
        <f t="shared" si="3"/>
        <v>532445</v>
      </c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</row>
    <row r="127" spans="1:54" s="9" customFormat="1" ht="12">
      <c r="A127" s="3" t="s">
        <v>139</v>
      </c>
      <c r="B127" s="3"/>
      <c r="C127" s="3" t="s">
        <v>45</v>
      </c>
      <c r="D127" s="3"/>
      <c r="E127" s="3">
        <v>243717.77</v>
      </c>
      <c r="F127" s="3"/>
      <c r="G127" s="3">
        <v>53601.79</v>
      </c>
      <c r="H127" s="3"/>
      <c r="I127" s="3">
        <v>59053.2</v>
      </c>
      <c r="J127" s="3"/>
      <c r="K127" s="3">
        <v>78348.91</v>
      </c>
      <c r="L127" s="3"/>
      <c r="M127" s="3">
        <v>10550.63</v>
      </c>
      <c r="N127" s="3"/>
      <c r="O127" s="3">
        <v>4966.4</v>
      </c>
      <c r="P127" s="3"/>
      <c r="Q127" s="3">
        <v>43490.46</v>
      </c>
      <c r="R127" s="3"/>
      <c r="S127" s="3">
        <v>0</v>
      </c>
      <c r="T127" s="3"/>
      <c r="U127" s="3">
        <v>0</v>
      </c>
      <c r="V127" s="3"/>
      <c r="W127" s="3">
        <v>0</v>
      </c>
      <c r="X127" s="3"/>
      <c r="Y127" s="3">
        <v>0</v>
      </c>
      <c r="Z127" s="3"/>
      <c r="AA127" s="3">
        <v>0</v>
      </c>
      <c r="AB127" s="3"/>
      <c r="AC127" s="3">
        <f t="shared" si="3"/>
        <v>493729.1600000001</v>
      </c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</row>
    <row r="128" spans="1:29" s="9" customFormat="1" ht="12" hidden="1">
      <c r="A128" s="9" t="s">
        <v>355</v>
      </c>
      <c r="C128" s="9" t="s">
        <v>26</v>
      </c>
      <c r="E128" s="3">
        <v>0</v>
      </c>
      <c r="F128" s="3"/>
      <c r="G128" s="3">
        <v>0</v>
      </c>
      <c r="H128" s="3"/>
      <c r="I128" s="3">
        <v>0</v>
      </c>
      <c r="J128" s="3"/>
      <c r="K128" s="3">
        <v>0</v>
      </c>
      <c r="L128" s="3"/>
      <c r="M128" s="3">
        <v>0</v>
      </c>
      <c r="N128" s="3"/>
      <c r="O128" s="3">
        <v>0</v>
      </c>
      <c r="P128" s="3"/>
      <c r="Q128" s="3">
        <v>0</v>
      </c>
      <c r="R128" s="3"/>
      <c r="S128" s="3">
        <v>0</v>
      </c>
      <c r="T128" s="3"/>
      <c r="U128" s="3">
        <v>0</v>
      </c>
      <c r="V128" s="3"/>
      <c r="W128" s="3">
        <v>0</v>
      </c>
      <c r="X128" s="3"/>
      <c r="Y128" s="3">
        <v>0</v>
      </c>
      <c r="Z128" s="3"/>
      <c r="AA128" s="3">
        <v>0</v>
      </c>
      <c r="AC128" s="9">
        <f t="shared" si="3"/>
        <v>0</v>
      </c>
    </row>
    <row r="129" spans="1:29" s="9" customFormat="1" ht="12">
      <c r="A129" s="9" t="s">
        <v>140</v>
      </c>
      <c r="C129" s="44" t="s">
        <v>66</v>
      </c>
      <c r="D129" s="44"/>
      <c r="E129" s="9">
        <v>198092</v>
      </c>
      <c r="G129" s="9">
        <v>68848</v>
      </c>
      <c r="I129" s="9">
        <v>41645</v>
      </c>
      <c r="K129" s="9">
        <v>47490</v>
      </c>
      <c r="M129" s="9">
        <v>10766</v>
      </c>
      <c r="O129" s="9">
        <v>9898</v>
      </c>
      <c r="Q129" s="9">
        <v>18878</v>
      </c>
      <c r="S129" s="9">
        <v>0</v>
      </c>
      <c r="U129" s="9">
        <v>0</v>
      </c>
      <c r="W129" s="9">
        <v>0</v>
      </c>
      <c r="Y129" s="9">
        <v>0</v>
      </c>
      <c r="AA129" s="9">
        <v>0</v>
      </c>
      <c r="AC129" s="9">
        <f t="shared" si="3"/>
        <v>395617</v>
      </c>
    </row>
    <row r="130" spans="1:29" s="9" customFormat="1" ht="12" hidden="1">
      <c r="A130" s="9" t="s">
        <v>498</v>
      </c>
      <c r="C130" s="9" t="s">
        <v>244</v>
      </c>
      <c r="E130" s="9">
        <v>126629</v>
      </c>
      <c r="G130" s="9">
        <v>0</v>
      </c>
      <c r="I130" s="9">
        <v>14509</v>
      </c>
      <c r="K130" s="9">
        <f>277722+12085</f>
        <v>289807</v>
      </c>
      <c r="M130" s="9">
        <v>0</v>
      </c>
      <c r="O130" s="9">
        <v>6367</v>
      </c>
      <c r="Q130" s="9">
        <v>0</v>
      </c>
      <c r="S130" s="9">
        <v>0</v>
      </c>
      <c r="U130" s="9">
        <v>0</v>
      </c>
      <c r="W130" s="9">
        <v>0</v>
      </c>
      <c r="Y130" s="9">
        <v>0</v>
      </c>
      <c r="AA130" s="9">
        <v>0</v>
      </c>
      <c r="AC130" s="9">
        <f t="shared" si="3"/>
        <v>437312</v>
      </c>
    </row>
    <row r="131" spans="1:29" s="9" customFormat="1" ht="12">
      <c r="A131" s="9" t="s">
        <v>141</v>
      </c>
      <c r="C131" s="9" t="s">
        <v>27</v>
      </c>
      <c r="E131" s="9">
        <v>383840</v>
      </c>
      <c r="G131" s="9">
        <v>80533</v>
      </c>
      <c r="I131" s="9">
        <v>68923</v>
      </c>
      <c r="K131" s="9">
        <v>151852</v>
      </c>
      <c r="M131" s="9">
        <v>15397</v>
      </c>
      <c r="O131" s="9">
        <v>7934</v>
      </c>
      <c r="Q131" s="9">
        <v>41062</v>
      </c>
      <c r="S131" s="9">
        <v>0</v>
      </c>
      <c r="U131" s="9">
        <v>0</v>
      </c>
      <c r="W131" s="9">
        <v>50000</v>
      </c>
      <c r="X131" s="3"/>
      <c r="Y131" s="3">
        <v>0</v>
      </c>
      <c r="Z131" s="3"/>
      <c r="AA131" s="3">
        <v>0</v>
      </c>
      <c r="AC131" s="9">
        <f t="shared" si="3"/>
        <v>799541</v>
      </c>
    </row>
    <row r="132" spans="1:29" s="9" customFormat="1" ht="12" hidden="1">
      <c r="A132" s="9" t="s">
        <v>208</v>
      </c>
      <c r="C132" s="9" t="s">
        <v>109</v>
      </c>
      <c r="E132" s="3">
        <v>0</v>
      </c>
      <c r="F132" s="3"/>
      <c r="G132" s="3">
        <v>0</v>
      </c>
      <c r="H132" s="3"/>
      <c r="I132" s="3">
        <v>0</v>
      </c>
      <c r="J132" s="3"/>
      <c r="K132" s="3">
        <v>0</v>
      </c>
      <c r="L132" s="3"/>
      <c r="M132" s="3">
        <v>0</v>
      </c>
      <c r="N132" s="3"/>
      <c r="O132" s="3">
        <v>0</v>
      </c>
      <c r="P132" s="3"/>
      <c r="Q132" s="3">
        <v>0</v>
      </c>
      <c r="R132" s="3"/>
      <c r="S132" s="3">
        <v>0</v>
      </c>
      <c r="T132" s="3"/>
      <c r="U132" s="3">
        <v>0</v>
      </c>
      <c r="V132" s="3"/>
      <c r="W132" s="3">
        <v>0</v>
      </c>
      <c r="X132" s="3"/>
      <c r="Y132" s="3">
        <v>0</v>
      </c>
      <c r="Z132" s="3"/>
      <c r="AA132" s="3">
        <v>0</v>
      </c>
      <c r="AC132" s="9">
        <f t="shared" si="3"/>
        <v>0</v>
      </c>
    </row>
    <row r="133" spans="1:54" s="9" customFormat="1" ht="12">
      <c r="A133" s="3" t="s">
        <v>385</v>
      </c>
      <c r="B133" s="3"/>
      <c r="C133" s="3" t="s">
        <v>143</v>
      </c>
      <c r="D133" s="3"/>
      <c r="E133" s="3">
        <v>675620.16</v>
      </c>
      <c r="F133" s="3"/>
      <c r="G133" s="3">
        <v>216257.02</v>
      </c>
      <c r="H133" s="3"/>
      <c r="I133" s="3">
        <v>174709.04</v>
      </c>
      <c r="J133" s="3"/>
      <c r="K133" s="3">
        <v>207511.3</v>
      </c>
      <c r="L133" s="3"/>
      <c r="M133" s="3">
        <v>57749.41</v>
      </c>
      <c r="N133" s="3"/>
      <c r="O133" s="3">
        <v>9248.19</v>
      </c>
      <c r="P133" s="3"/>
      <c r="Q133" s="3">
        <v>18717.36</v>
      </c>
      <c r="R133" s="3"/>
      <c r="S133" s="3">
        <v>0</v>
      </c>
      <c r="T133" s="3"/>
      <c r="U133" s="3">
        <v>0</v>
      </c>
      <c r="V133" s="3"/>
      <c r="W133" s="3">
        <v>0</v>
      </c>
      <c r="X133" s="3"/>
      <c r="Y133" s="3">
        <v>0</v>
      </c>
      <c r="Z133" s="3"/>
      <c r="AA133" s="3">
        <v>0</v>
      </c>
      <c r="AB133" s="3"/>
      <c r="AC133" s="3">
        <f t="shared" si="3"/>
        <v>1359812.48</v>
      </c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</row>
    <row r="134" spans="1:29" s="9" customFormat="1" ht="12">
      <c r="A134" s="9" t="s">
        <v>144</v>
      </c>
      <c r="C134" s="9" t="s">
        <v>93</v>
      </c>
      <c r="E134" s="9">
        <v>25148</v>
      </c>
      <c r="G134" s="9">
        <v>3785</v>
      </c>
      <c r="I134" s="9">
        <v>0</v>
      </c>
      <c r="K134" s="9">
        <v>11872</v>
      </c>
      <c r="M134" s="9">
        <v>2682</v>
      </c>
      <c r="O134" s="9">
        <v>11619</v>
      </c>
      <c r="Q134" s="9">
        <v>0</v>
      </c>
      <c r="S134" s="9">
        <v>0</v>
      </c>
      <c r="U134" s="9">
        <v>0</v>
      </c>
      <c r="W134" s="9">
        <v>0</v>
      </c>
      <c r="Y134" s="9">
        <v>0</v>
      </c>
      <c r="AA134" s="9">
        <v>0</v>
      </c>
      <c r="AC134" s="9">
        <f t="shared" si="3"/>
        <v>55106</v>
      </c>
    </row>
    <row r="135" spans="1:29" s="9" customFormat="1" ht="12" hidden="1">
      <c r="A135" s="9" t="s">
        <v>211</v>
      </c>
      <c r="C135" s="9" t="s">
        <v>207</v>
      </c>
      <c r="E135" s="3">
        <v>0</v>
      </c>
      <c r="F135" s="3"/>
      <c r="G135" s="3">
        <v>0</v>
      </c>
      <c r="H135" s="3"/>
      <c r="I135" s="3">
        <v>0</v>
      </c>
      <c r="J135" s="3"/>
      <c r="K135" s="3">
        <v>0</v>
      </c>
      <c r="L135" s="3"/>
      <c r="M135" s="3">
        <v>0</v>
      </c>
      <c r="N135" s="3"/>
      <c r="O135" s="3">
        <v>0</v>
      </c>
      <c r="P135" s="3"/>
      <c r="Q135" s="3">
        <v>0</v>
      </c>
      <c r="R135" s="3"/>
      <c r="S135" s="3">
        <v>0</v>
      </c>
      <c r="T135" s="3"/>
      <c r="U135" s="3">
        <v>0</v>
      </c>
      <c r="V135" s="3"/>
      <c r="W135" s="3">
        <v>0</v>
      </c>
      <c r="X135" s="3"/>
      <c r="Y135" s="3">
        <v>0</v>
      </c>
      <c r="Z135" s="3"/>
      <c r="AA135" s="3">
        <v>0</v>
      </c>
      <c r="AC135" s="9">
        <f t="shared" si="3"/>
        <v>0</v>
      </c>
    </row>
    <row r="136" spans="1:29" s="9" customFormat="1" ht="12" hidden="1">
      <c r="A136" s="9" t="s">
        <v>212</v>
      </c>
      <c r="C136" s="9" t="s">
        <v>57</v>
      </c>
      <c r="E136" s="3">
        <v>0</v>
      </c>
      <c r="F136" s="3"/>
      <c r="G136" s="3">
        <v>0</v>
      </c>
      <c r="H136" s="3"/>
      <c r="I136" s="3">
        <v>0</v>
      </c>
      <c r="J136" s="3"/>
      <c r="K136" s="3">
        <v>0</v>
      </c>
      <c r="L136" s="3"/>
      <c r="M136" s="3">
        <v>0</v>
      </c>
      <c r="N136" s="3"/>
      <c r="O136" s="3">
        <v>0</v>
      </c>
      <c r="P136" s="3"/>
      <c r="Q136" s="3">
        <v>0</v>
      </c>
      <c r="R136" s="3"/>
      <c r="S136" s="3">
        <v>0</v>
      </c>
      <c r="T136" s="3"/>
      <c r="U136" s="3">
        <v>0</v>
      </c>
      <c r="V136" s="3"/>
      <c r="W136" s="3">
        <v>0</v>
      </c>
      <c r="X136" s="3"/>
      <c r="Y136" s="3">
        <v>0</v>
      </c>
      <c r="Z136" s="3"/>
      <c r="AA136" s="3">
        <v>0</v>
      </c>
      <c r="AC136" s="9">
        <f t="shared" si="3"/>
        <v>0</v>
      </c>
    </row>
    <row r="137" spans="1:29" s="9" customFormat="1" ht="12" hidden="1">
      <c r="A137" s="9" t="s">
        <v>213</v>
      </c>
      <c r="C137" s="9" t="s">
        <v>64</v>
      </c>
      <c r="E137" s="3">
        <v>0</v>
      </c>
      <c r="F137" s="3"/>
      <c r="G137" s="3">
        <v>0</v>
      </c>
      <c r="H137" s="3"/>
      <c r="I137" s="3">
        <v>0</v>
      </c>
      <c r="J137" s="3"/>
      <c r="K137" s="3">
        <v>0</v>
      </c>
      <c r="L137" s="3"/>
      <c r="M137" s="3">
        <v>0</v>
      </c>
      <c r="N137" s="3"/>
      <c r="O137" s="3">
        <v>0</v>
      </c>
      <c r="P137" s="3"/>
      <c r="Q137" s="3">
        <v>0</v>
      </c>
      <c r="R137" s="3"/>
      <c r="S137" s="3">
        <v>0</v>
      </c>
      <c r="T137" s="3"/>
      <c r="U137" s="3">
        <v>0</v>
      </c>
      <c r="V137" s="3"/>
      <c r="W137" s="3">
        <v>0</v>
      </c>
      <c r="X137" s="3"/>
      <c r="Y137" s="3">
        <v>0</v>
      </c>
      <c r="Z137" s="3"/>
      <c r="AA137" s="3">
        <v>0</v>
      </c>
      <c r="AC137" s="9">
        <f t="shared" si="3"/>
        <v>0</v>
      </c>
    </row>
    <row r="138" spans="1:54" s="9" customFormat="1" ht="12">
      <c r="A138" s="3" t="s">
        <v>520</v>
      </c>
      <c r="B138" s="3"/>
      <c r="C138" s="3" t="s">
        <v>20</v>
      </c>
      <c r="D138" s="3"/>
      <c r="E138" s="3">
        <v>1362331.43</v>
      </c>
      <c r="F138" s="3"/>
      <c r="G138" s="3">
        <v>556231.82</v>
      </c>
      <c r="H138" s="3"/>
      <c r="I138" s="3">
        <v>743485.75</v>
      </c>
      <c r="J138" s="3"/>
      <c r="K138" s="3">
        <v>257549.05</v>
      </c>
      <c r="L138" s="3"/>
      <c r="M138" s="3">
        <v>82836.38</v>
      </c>
      <c r="N138" s="3"/>
      <c r="O138" s="3">
        <v>62804.54</v>
      </c>
      <c r="P138" s="3"/>
      <c r="Q138" s="3">
        <v>9682.45</v>
      </c>
      <c r="R138" s="3"/>
      <c r="S138" s="3">
        <v>0</v>
      </c>
      <c r="T138" s="3"/>
      <c r="U138" s="3">
        <v>0</v>
      </c>
      <c r="V138" s="3"/>
      <c r="W138" s="3">
        <v>0</v>
      </c>
      <c r="X138" s="3"/>
      <c r="Y138" s="3">
        <v>0</v>
      </c>
      <c r="Z138" s="3"/>
      <c r="AA138" s="3">
        <v>0</v>
      </c>
      <c r="AB138" s="3"/>
      <c r="AC138" s="3">
        <f t="shared" si="3"/>
        <v>3074921.42</v>
      </c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</row>
    <row r="139" spans="1:29" s="9" customFormat="1" ht="12" hidden="1">
      <c r="A139" s="9" t="s">
        <v>216</v>
      </c>
      <c r="C139" s="9" t="s">
        <v>57</v>
      </c>
      <c r="E139" s="3">
        <v>0</v>
      </c>
      <c r="F139" s="3"/>
      <c r="G139" s="3">
        <v>0</v>
      </c>
      <c r="H139" s="3"/>
      <c r="I139" s="3">
        <v>0</v>
      </c>
      <c r="J139" s="3"/>
      <c r="K139" s="3">
        <v>0</v>
      </c>
      <c r="L139" s="3"/>
      <c r="M139" s="3">
        <v>0</v>
      </c>
      <c r="N139" s="3"/>
      <c r="O139" s="3">
        <v>0</v>
      </c>
      <c r="P139" s="3"/>
      <c r="Q139" s="3">
        <v>0</v>
      </c>
      <c r="R139" s="3"/>
      <c r="S139" s="3">
        <v>0</v>
      </c>
      <c r="T139" s="3"/>
      <c r="U139" s="3">
        <v>0</v>
      </c>
      <c r="V139" s="3"/>
      <c r="W139" s="3">
        <v>0</v>
      </c>
      <c r="X139" s="3"/>
      <c r="Y139" s="3">
        <v>0</v>
      </c>
      <c r="Z139" s="3"/>
      <c r="AA139" s="3">
        <v>0</v>
      </c>
      <c r="AC139" s="9">
        <f t="shared" si="3"/>
        <v>0</v>
      </c>
    </row>
    <row r="140" spans="1:29" s="9" customFormat="1" ht="12" hidden="1">
      <c r="A140" s="9" t="s">
        <v>217</v>
      </c>
      <c r="C140" s="9" t="s">
        <v>26</v>
      </c>
      <c r="E140" s="3">
        <v>0</v>
      </c>
      <c r="F140" s="3"/>
      <c r="G140" s="3">
        <v>0</v>
      </c>
      <c r="H140" s="3"/>
      <c r="I140" s="3">
        <v>0</v>
      </c>
      <c r="J140" s="3"/>
      <c r="K140" s="3">
        <v>0</v>
      </c>
      <c r="L140" s="3"/>
      <c r="M140" s="3">
        <v>0</v>
      </c>
      <c r="N140" s="3"/>
      <c r="O140" s="3">
        <v>0</v>
      </c>
      <c r="P140" s="3"/>
      <c r="Q140" s="3">
        <v>0</v>
      </c>
      <c r="R140" s="3"/>
      <c r="S140" s="3">
        <v>0</v>
      </c>
      <c r="T140" s="3"/>
      <c r="U140" s="3">
        <v>0</v>
      </c>
      <c r="V140" s="3"/>
      <c r="W140" s="3">
        <v>0</v>
      </c>
      <c r="X140" s="3"/>
      <c r="Y140" s="3">
        <v>0</v>
      </c>
      <c r="Z140" s="3"/>
      <c r="AA140" s="3">
        <v>0</v>
      </c>
      <c r="AC140" s="9">
        <f t="shared" si="3"/>
        <v>0</v>
      </c>
    </row>
    <row r="141" spans="1:54" s="9" customFormat="1" ht="12">
      <c r="A141" s="3" t="s">
        <v>521</v>
      </c>
      <c r="B141" s="3"/>
      <c r="C141" s="3" t="s">
        <v>54</v>
      </c>
      <c r="D141" s="3"/>
      <c r="E141" s="3">
        <v>254957.64</v>
      </c>
      <c r="F141" s="3"/>
      <c r="G141" s="3">
        <v>81606.73</v>
      </c>
      <c r="H141" s="3"/>
      <c r="I141" s="3">
        <v>48986.63</v>
      </c>
      <c r="J141" s="3"/>
      <c r="K141" s="3">
        <v>86029.72</v>
      </c>
      <c r="L141" s="3"/>
      <c r="M141" s="3">
        <v>20082.58</v>
      </c>
      <c r="N141" s="3"/>
      <c r="O141" s="3">
        <v>407.94</v>
      </c>
      <c r="P141" s="3"/>
      <c r="Q141" s="3">
        <v>11620.33</v>
      </c>
      <c r="R141" s="3"/>
      <c r="S141" s="3">
        <v>0</v>
      </c>
      <c r="T141" s="3"/>
      <c r="U141" s="3">
        <v>0</v>
      </c>
      <c r="V141" s="3"/>
      <c r="W141" s="3">
        <v>10000</v>
      </c>
      <c r="X141" s="3"/>
      <c r="Y141" s="3">
        <v>0</v>
      </c>
      <c r="Z141" s="3"/>
      <c r="AA141" s="3">
        <v>0</v>
      </c>
      <c r="AB141" s="3"/>
      <c r="AC141" s="3">
        <f aca="true" t="shared" si="4" ref="AC141:AC147">SUM(E141:AA141)</f>
        <v>513691.57</v>
      </c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</row>
    <row r="142" spans="1:29" s="9" customFormat="1" ht="12">
      <c r="A142" s="9" t="s">
        <v>485</v>
      </c>
      <c r="C142" s="9" t="s">
        <v>21</v>
      </c>
      <c r="E142" s="9">
        <v>608358</v>
      </c>
      <c r="G142" s="9">
        <v>0</v>
      </c>
      <c r="I142" s="9">
        <f>2515919-608358-196804</f>
        <v>1710757</v>
      </c>
      <c r="K142" s="9">
        <v>0</v>
      </c>
      <c r="M142" s="9">
        <v>0</v>
      </c>
      <c r="O142" s="9">
        <v>0</v>
      </c>
      <c r="Q142" s="9">
        <v>196804</v>
      </c>
      <c r="S142" s="9">
        <v>0</v>
      </c>
      <c r="U142" s="9">
        <v>0</v>
      </c>
      <c r="W142" s="9">
        <v>0</v>
      </c>
      <c r="Y142" s="9">
        <v>0</v>
      </c>
      <c r="AA142" s="9">
        <v>0</v>
      </c>
      <c r="AC142" s="9">
        <f t="shared" si="4"/>
        <v>2515919</v>
      </c>
    </row>
    <row r="143" spans="1:29" s="9" customFormat="1" ht="12" hidden="1">
      <c r="A143" s="9" t="s">
        <v>390</v>
      </c>
      <c r="C143" s="9" t="s">
        <v>150</v>
      </c>
      <c r="E143" s="3">
        <v>0</v>
      </c>
      <c r="F143" s="3"/>
      <c r="G143" s="3">
        <v>0</v>
      </c>
      <c r="H143" s="3"/>
      <c r="I143" s="3">
        <v>0</v>
      </c>
      <c r="J143" s="3"/>
      <c r="K143" s="3">
        <v>0</v>
      </c>
      <c r="L143" s="3"/>
      <c r="M143" s="3">
        <v>0</v>
      </c>
      <c r="N143" s="3"/>
      <c r="O143" s="3">
        <v>0</v>
      </c>
      <c r="P143" s="3"/>
      <c r="Q143" s="3">
        <v>0</v>
      </c>
      <c r="R143" s="3"/>
      <c r="S143" s="3">
        <v>0</v>
      </c>
      <c r="T143" s="3"/>
      <c r="U143" s="3">
        <v>0</v>
      </c>
      <c r="V143" s="3"/>
      <c r="W143" s="3">
        <v>0</v>
      </c>
      <c r="X143" s="3"/>
      <c r="Y143" s="3">
        <v>0</v>
      </c>
      <c r="Z143" s="3"/>
      <c r="AA143" s="3">
        <v>0</v>
      </c>
      <c r="AC143" s="9">
        <f t="shared" si="4"/>
        <v>0</v>
      </c>
    </row>
    <row r="144" spans="1:29" s="9" customFormat="1" ht="12" hidden="1">
      <c r="A144" s="9" t="s">
        <v>219</v>
      </c>
      <c r="C144" s="9" t="s">
        <v>65</v>
      </c>
      <c r="E144" s="3">
        <v>0</v>
      </c>
      <c r="F144" s="3"/>
      <c r="G144" s="3">
        <v>0</v>
      </c>
      <c r="H144" s="3"/>
      <c r="I144" s="3">
        <v>0</v>
      </c>
      <c r="J144" s="3"/>
      <c r="K144" s="3">
        <v>0</v>
      </c>
      <c r="L144" s="3"/>
      <c r="M144" s="3">
        <v>0</v>
      </c>
      <c r="N144" s="3"/>
      <c r="O144" s="3">
        <v>0</v>
      </c>
      <c r="P144" s="3"/>
      <c r="Q144" s="3">
        <v>0</v>
      </c>
      <c r="R144" s="3"/>
      <c r="S144" s="3">
        <v>0</v>
      </c>
      <c r="T144" s="3"/>
      <c r="U144" s="3">
        <v>0</v>
      </c>
      <c r="V144" s="3"/>
      <c r="W144" s="3">
        <v>0</v>
      </c>
      <c r="X144" s="3"/>
      <c r="Y144" s="3">
        <v>0</v>
      </c>
      <c r="Z144" s="3"/>
      <c r="AA144" s="3">
        <v>0</v>
      </c>
      <c r="AC144" s="9">
        <f t="shared" si="4"/>
        <v>0</v>
      </c>
    </row>
    <row r="145" spans="1:29" s="9" customFormat="1" ht="12">
      <c r="A145" s="9" t="s">
        <v>146</v>
      </c>
      <c r="C145" s="9" t="s">
        <v>60</v>
      </c>
      <c r="E145" s="9">
        <v>1769807</v>
      </c>
      <c r="G145" s="9">
        <v>503334</v>
      </c>
      <c r="I145" s="9">
        <v>733012</v>
      </c>
      <c r="K145" s="9">
        <v>490425</v>
      </c>
      <c r="M145" s="9">
        <v>78758</v>
      </c>
      <c r="O145" s="9">
        <v>25215</v>
      </c>
      <c r="Q145" s="9">
        <v>216181</v>
      </c>
      <c r="R145" s="3"/>
      <c r="S145" s="3">
        <v>0</v>
      </c>
      <c r="T145" s="3"/>
      <c r="U145" s="3">
        <v>0</v>
      </c>
      <c r="V145" s="3"/>
      <c r="W145" s="3">
        <v>0</v>
      </c>
      <c r="X145" s="3"/>
      <c r="Y145" s="3">
        <v>0</v>
      </c>
      <c r="Z145" s="3"/>
      <c r="AA145" s="3">
        <v>0</v>
      </c>
      <c r="AC145" s="9">
        <f t="shared" si="4"/>
        <v>3816732</v>
      </c>
    </row>
    <row r="146" spans="1:29" s="9" customFormat="1" ht="12" hidden="1">
      <c r="A146" s="9" t="s">
        <v>15</v>
      </c>
      <c r="C146" s="9" t="s">
        <v>16</v>
      </c>
      <c r="E146" s="3">
        <v>0</v>
      </c>
      <c r="F146" s="3"/>
      <c r="G146" s="3">
        <v>0</v>
      </c>
      <c r="H146" s="3"/>
      <c r="I146" s="3">
        <v>0</v>
      </c>
      <c r="J146" s="3"/>
      <c r="K146" s="3">
        <v>0</v>
      </c>
      <c r="L146" s="3"/>
      <c r="M146" s="3">
        <v>0</v>
      </c>
      <c r="N146" s="3"/>
      <c r="O146" s="3">
        <v>0</v>
      </c>
      <c r="P146" s="3"/>
      <c r="Q146" s="3">
        <v>0</v>
      </c>
      <c r="R146" s="3"/>
      <c r="S146" s="3">
        <v>0</v>
      </c>
      <c r="T146" s="3"/>
      <c r="U146" s="3">
        <v>0</v>
      </c>
      <c r="V146" s="3"/>
      <c r="W146" s="3">
        <v>0</v>
      </c>
      <c r="X146" s="3"/>
      <c r="Y146" s="3">
        <v>0</v>
      </c>
      <c r="Z146" s="3"/>
      <c r="AA146" s="3">
        <v>0</v>
      </c>
      <c r="AC146" s="9">
        <f t="shared" si="4"/>
        <v>0</v>
      </c>
    </row>
    <row r="147" spans="1:29" s="9" customFormat="1" ht="12" hidden="1">
      <c r="A147" s="9" t="s">
        <v>221</v>
      </c>
      <c r="C147" s="9" t="s">
        <v>53</v>
      </c>
      <c r="E147" s="3">
        <v>0</v>
      </c>
      <c r="F147" s="3"/>
      <c r="G147" s="3">
        <v>0</v>
      </c>
      <c r="H147" s="3"/>
      <c r="I147" s="3">
        <v>0</v>
      </c>
      <c r="J147" s="3"/>
      <c r="K147" s="3">
        <v>0</v>
      </c>
      <c r="L147" s="3"/>
      <c r="M147" s="3">
        <v>0</v>
      </c>
      <c r="N147" s="3"/>
      <c r="O147" s="3">
        <v>0</v>
      </c>
      <c r="P147" s="3"/>
      <c r="Q147" s="3">
        <v>0</v>
      </c>
      <c r="R147" s="3"/>
      <c r="S147" s="3">
        <v>0</v>
      </c>
      <c r="T147" s="3"/>
      <c r="U147" s="3">
        <v>0</v>
      </c>
      <c r="V147" s="3"/>
      <c r="W147" s="3">
        <v>0</v>
      </c>
      <c r="X147" s="3"/>
      <c r="Y147" s="3">
        <v>0</v>
      </c>
      <c r="Z147" s="3"/>
      <c r="AA147" s="3">
        <v>0</v>
      </c>
      <c r="AC147" s="9">
        <f t="shared" si="4"/>
        <v>0</v>
      </c>
    </row>
    <row r="148" spans="5:29" s="9" customFormat="1" ht="12"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C148" s="21" t="s">
        <v>8</v>
      </c>
    </row>
    <row r="149" spans="1:29" s="20" customFormat="1" ht="12">
      <c r="A149" s="20" t="s">
        <v>19</v>
      </c>
      <c r="C149" s="20" t="s">
        <v>20</v>
      </c>
      <c r="E149" s="20">
        <f>4885394/5</f>
        <v>977078.8</v>
      </c>
      <c r="G149" s="20">
        <v>0</v>
      </c>
      <c r="I149" s="20">
        <v>977078</v>
      </c>
      <c r="K149" s="20">
        <v>977079</v>
      </c>
      <c r="M149" s="20">
        <v>977079</v>
      </c>
      <c r="O149" s="20">
        <v>977079</v>
      </c>
      <c r="Q149" s="20">
        <v>102312</v>
      </c>
      <c r="S149" s="20">
        <v>0</v>
      </c>
      <c r="T149" s="4"/>
      <c r="U149" s="4">
        <v>0</v>
      </c>
      <c r="V149" s="4"/>
      <c r="W149" s="4">
        <v>0</v>
      </c>
      <c r="X149" s="4"/>
      <c r="Y149" s="4">
        <v>0</v>
      </c>
      <c r="Z149" s="4"/>
      <c r="AA149" s="4">
        <v>0</v>
      </c>
      <c r="AC149" s="20">
        <f aca="true" t="shared" si="5" ref="AC149:AC180">SUM(E149:AA149)</f>
        <v>4987705.8</v>
      </c>
    </row>
    <row r="150" spans="1:29" s="9" customFormat="1" ht="12" hidden="1">
      <c r="A150" s="9" t="s">
        <v>223</v>
      </c>
      <c r="C150" s="9" t="s">
        <v>182</v>
      </c>
      <c r="E150" s="3">
        <v>0</v>
      </c>
      <c r="F150" s="3"/>
      <c r="G150" s="3">
        <v>0</v>
      </c>
      <c r="H150" s="3"/>
      <c r="I150" s="3">
        <v>0</v>
      </c>
      <c r="J150" s="3"/>
      <c r="K150" s="3">
        <v>0</v>
      </c>
      <c r="L150" s="3"/>
      <c r="M150" s="3">
        <v>0</v>
      </c>
      <c r="N150" s="3"/>
      <c r="O150" s="3">
        <v>0</v>
      </c>
      <c r="P150" s="3"/>
      <c r="Q150" s="3">
        <v>0</v>
      </c>
      <c r="R150" s="3"/>
      <c r="S150" s="3">
        <v>0</v>
      </c>
      <c r="T150" s="3"/>
      <c r="U150" s="3">
        <v>0</v>
      </c>
      <c r="V150" s="3"/>
      <c r="W150" s="3">
        <v>0</v>
      </c>
      <c r="X150" s="3"/>
      <c r="Y150" s="3">
        <v>0</v>
      </c>
      <c r="Z150" s="3"/>
      <c r="AA150" s="3">
        <v>0</v>
      </c>
      <c r="AC150" s="9">
        <f t="shared" si="5"/>
        <v>0</v>
      </c>
    </row>
    <row r="151" spans="1:29" s="9" customFormat="1" ht="12" hidden="1">
      <c r="A151" s="9" t="s">
        <v>224</v>
      </c>
      <c r="C151" s="9" t="s">
        <v>56</v>
      </c>
      <c r="E151" s="3">
        <v>0</v>
      </c>
      <c r="F151" s="3"/>
      <c r="G151" s="3">
        <v>0</v>
      </c>
      <c r="H151" s="3"/>
      <c r="I151" s="3">
        <v>0</v>
      </c>
      <c r="J151" s="3"/>
      <c r="K151" s="3">
        <v>0</v>
      </c>
      <c r="L151" s="3"/>
      <c r="M151" s="3">
        <v>0</v>
      </c>
      <c r="N151" s="3"/>
      <c r="O151" s="3">
        <v>0</v>
      </c>
      <c r="P151" s="3"/>
      <c r="Q151" s="3">
        <v>0</v>
      </c>
      <c r="R151" s="3"/>
      <c r="S151" s="3">
        <v>0</v>
      </c>
      <c r="T151" s="3"/>
      <c r="U151" s="3">
        <v>0</v>
      </c>
      <c r="V151" s="3"/>
      <c r="W151" s="3">
        <v>0</v>
      </c>
      <c r="X151" s="3"/>
      <c r="Y151" s="3">
        <v>0</v>
      </c>
      <c r="Z151" s="3"/>
      <c r="AA151" s="3">
        <v>0</v>
      </c>
      <c r="AC151" s="9">
        <f t="shared" si="5"/>
        <v>0</v>
      </c>
    </row>
    <row r="152" spans="1:29" s="9" customFormat="1" ht="12" hidden="1">
      <c r="A152" s="9" t="s">
        <v>225</v>
      </c>
      <c r="C152" s="9" t="s">
        <v>26</v>
      </c>
      <c r="E152" s="3">
        <v>0</v>
      </c>
      <c r="F152" s="3"/>
      <c r="G152" s="3">
        <v>0</v>
      </c>
      <c r="H152" s="3"/>
      <c r="I152" s="3">
        <v>0</v>
      </c>
      <c r="J152" s="3"/>
      <c r="K152" s="3">
        <v>0</v>
      </c>
      <c r="L152" s="3"/>
      <c r="M152" s="3">
        <v>0</v>
      </c>
      <c r="N152" s="3"/>
      <c r="O152" s="3">
        <v>0</v>
      </c>
      <c r="P152" s="3"/>
      <c r="Q152" s="3">
        <v>0</v>
      </c>
      <c r="R152" s="3"/>
      <c r="S152" s="3">
        <v>0</v>
      </c>
      <c r="T152" s="3"/>
      <c r="U152" s="3">
        <v>0</v>
      </c>
      <c r="V152" s="3"/>
      <c r="W152" s="3">
        <v>0</v>
      </c>
      <c r="X152" s="3"/>
      <c r="Y152" s="3">
        <v>0</v>
      </c>
      <c r="Z152" s="3"/>
      <c r="AA152" s="3">
        <v>0</v>
      </c>
      <c r="AC152" s="9">
        <f t="shared" si="5"/>
        <v>0</v>
      </c>
    </row>
    <row r="153" spans="1:29" s="9" customFormat="1" ht="12" hidden="1">
      <c r="A153" s="9" t="s">
        <v>357</v>
      </c>
      <c r="C153" s="9" t="s">
        <v>66</v>
      </c>
      <c r="E153" s="3">
        <v>0</v>
      </c>
      <c r="F153" s="3"/>
      <c r="G153" s="3">
        <v>0</v>
      </c>
      <c r="H153" s="3"/>
      <c r="I153" s="3">
        <v>0</v>
      </c>
      <c r="J153" s="3"/>
      <c r="K153" s="3">
        <v>0</v>
      </c>
      <c r="L153" s="3"/>
      <c r="M153" s="3">
        <v>0</v>
      </c>
      <c r="N153" s="3"/>
      <c r="O153" s="3">
        <v>0</v>
      </c>
      <c r="P153" s="3"/>
      <c r="Q153" s="3">
        <v>0</v>
      </c>
      <c r="R153" s="3"/>
      <c r="S153" s="3">
        <v>0</v>
      </c>
      <c r="T153" s="3"/>
      <c r="U153" s="3">
        <v>0</v>
      </c>
      <c r="V153" s="3"/>
      <c r="W153" s="3">
        <v>0</v>
      </c>
      <c r="X153" s="3"/>
      <c r="Y153" s="3">
        <v>0</v>
      </c>
      <c r="Z153" s="3"/>
      <c r="AA153" s="3">
        <v>0</v>
      </c>
      <c r="AC153" s="9">
        <f t="shared" si="5"/>
        <v>0</v>
      </c>
    </row>
    <row r="154" spans="1:29" s="9" customFormat="1" ht="12" hidden="1">
      <c r="A154" s="9" t="s">
        <v>227</v>
      </c>
      <c r="C154" s="9" t="s">
        <v>27</v>
      </c>
      <c r="E154" s="3">
        <v>0</v>
      </c>
      <c r="F154" s="3"/>
      <c r="G154" s="3">
        <v>0</v>
      </c>
      <c r="H154" s="3"/>
      <c r="I154" s="3">
        <v>0</v>
      </c>
      <c r="J154" s="3"/>
      <c r="K154" s="3">
        <v>0</v>
      </c>
      <c r="L154" s="3"/>
      <c r="M154" s="3">
        <v>0</v>
      </c>
      <c r="N154" s="3"/>
      <c r="O154" s="3">
        <v>0</v>
      </c>
      <c r="P154" s="3"/>
      <c r="Q154" s="3">
        <v>0</v>
      </c>
      <c r="R154" s="3"/>
      <c r="S154" s="3">
        <v>0</v>
      </c>
      <c r="T154" s="3"/>
      <c r="U154" s="3">
        <v>0</v>
      </c>
      <c r="V154" s="3"/>
      <c r="W154" s="3">
        <v>0</v>
      </c>
      <c r="X154" s="3"/>
      <c r="Y154" s="3">
        <v>0</v>
      </c>
      <c r="Z154" s="3"/>
      <c r="AA154" s="3">
        <v>0</v>
      </c>
      <c r="AC154" s="9">
        <f t="shared" si="5"/>
        <v>0</v>
      </c>
    </row>
    <row r="155" spans="1:54" s="9" customFormat="1" ht="12">
      <c r="A155" s="3" t="s">
        <v>147</v>
      </c>
      <c r="B155" s="3"/>
      <c r="C155" s="3" t="s">
        <v>45</v>
      </c>
      <c r="D155" s="3"/>
      <c r="E155" s="3">
        <v>132883.9</v>
      </c>
      <c r="F155" s="3"/>
      <c r="G155" s="3">
        <v>33114.41</v>
      </c>
      <c r="H155" s="3"/>
      <c r="I155" s="3">
        <v>59928.55</v>
      </c>
      <c r="J155" s="3"/>
      <c r="K155" s="3">
        <v>32374</v>
      </c>
      <c r="L155" s="3"/>
      <c r="M155" s="3">
        <v>31298.27</v>
      </c>
      <c r="N155" s="3"/>
      <c r="O155" s="3">
        <v>3122</v>
      </c>
      <c r="P155" s="3"/>
      <c r="Q155" s="3">
        <v>18160.31</v>
      </c>
      <c r="R155" s="3"/>
      <c r="S155" s="3">
        <v>0</v>
      </c>
      <c r="T155" s="3"/>
      <c r="U155" s="3">
        <v>0</v>
      </c>
      <c r="V155" s="3"/>
      <c r="W155" s="3">
        <v>0</v>
      </c>
      <c r="X155" s="3"/>
      <c r="Y155" s="3">
        <v>0</v>
      </c>
      <c r="Z155" s="3"/>
      <c r="AA155" s="3">
        <v>0</v>
      </c>
      <c r="AB155" s="3"/>
      <c r="AC155" s="3">
        <f t="shared" si="5"/>
        <v>310881.44</v>
      </c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</row>
    <row r="156" spans="1:29" s="9" customFormat="1" ht="12">
      <c r="A156" s="9" t="s">
        <v>496</v>
      </c>
      <c r="C156" s="9" t="s">
        <v>70</v>
      </c>
      <c r="E156" s="9">
        <v>1742142</v>
      </c>
      <c r="G156" s="9">
        <v>480033</v>
      </c>
      <c r="I156" s="9">
        <v>708403</v>
      </c>
      <c r="K156" s="9">
        <v>634319</v>
      </c>
      <c r="M156" s="9">
        <v>126452</v>
      </c>
      <c r="O156" s="9">
        <v>6877</v>
      </c>
      <c r="Q156" s="9">
        <v>368116</v>
      </c>
      <c r="S156" s="9">
        <v>121024</v>
      </c>
      <c r="U156" s="9">
        <v>8349</v>
      </c>
      <c r="W156" s="9">
        <v>268024</v>
      </c>
      <c r="Y156" s="9">
        <v>0</v>
      </c>
      <c r="AA156" s="9">
        <v>0</v>
      </c>
      <c r="AC156" s="9">
        <f t="shared" si="5"/>
        <v>4463739</v>
      </c>
    </row>
    <row r="157" spans="1:29" s="9" customFormat="1" ht="12">
      <c r="A157" s="9" t="s">
        <v>148</v>
      </c>
      <c r="C157" s="9" t="s">
        <v>16</v>
      </c>
      <c r="E157" s="9">
        <v>219714</v>
      </c>
      <c r="G157" s="9">
        <v>62497</v>
      </c>
      <c r="I157" s="9">
        <v>55782</v>
      </c>
      <c r="K157" s="9">
        <v>70675</v>
      </c>
      <c r="M157" s="9">
        <v>9525</v>
      </c>
      <c r="O157" s="9">
        <v>1186</v>
      </c>
      <c r="Q157" s="9">
        <v>62557</v>
      </c>
      <c r="S157" s="9">
        <v>0</v>
      </c>
      <c r="U157" s="9">
        <v>0</v>
      </c>
      <c r="W157" s="9">
        <v>20000</v>
      </c>
      <c r="X157" s="3"/>
      <c r="Y157" s="3">
        <v>0</v>
      </c>
      <c r="Z157" s="3"/>
      <c r="AA157" s="3">
        <v>0</v>
      </c>
      <c r="AC157" s="9">
        <f t="shared" si="5"/>
        <v>501936</v>
      </c>
    </row>
    <row r="158" spans="1:29" s="9" customFormat="1" ht="12">
      <c r="A158" s="9" t="s">
        <v>149</v>
      </c>
      <c r="C158" s="9" t="s">
        <v>150</v>
      </c>
      <c r="E158" s="9">
        <v>866456</v>
      </c>
      <c r="G158" s="9">
        <v>0</v>
      </c>
      <c r="I158" s="9">
        <f>3367110-866456-84433-185000-41118</f>
        <v>2190103</v>
      </c>
      <c r="K158" s="9">
        <v>0</v>
      </c>
      <c r="M158" s="9">
        <v>0</v>
      </c>
      <c r="O158" s="9">
        <v>0</v>
      </c>
      <c r="Q158" s="9">
        <v>84433</v>
      </c>
      <c r="S158" s="9">
        <v>185000</v>
      </c>
      <c r="U158" s="9">
        <v>41118</v>
      </c>
      <c r="W158" s="9">
        <v>210000</v>
      </c>
      <c r="X158" s="3"/>
      <c r="Y158" s="3">
        <v>0</v>
      </c>
      <c r="Z158" s="3"/>
      <c r="AA158" s="3">
        <v>0</v>
      </c>
      <c r="AC158" s="9">
        <f t="shared" si="5"/>
        <v>3577110</v>
      </c>
    </row>
    <row r="159" spans="1:29" s="9" customFormat="1" ht="12" hidden="1">
      <c r="A159" s="9" t="s">
        <v>233</v>
      </c>
      <c r="C159" s="9" t="s">
        <v>13</v>
      </c>
      <c r="E159" s="3">
        <v>0</v>
      </c>
      <c r="F159" s="3"/>
      <c r="G159" s="3">
        <v>0</v>
      </c>
      <c r="H159" s="3"/>
      <c r="I159" s="3">
        <v>0</v>
      </c>
      <c r="J159" s="3"/>
      <c r="K159" s="3">
        <v>0</v>
      </c>
      <c r="L159" s="3"/>
      <c r="M159" s="3">
        <v>0</v>
      </c>
      <c r="N159" s="3"/>
      <c r="O159" s="3">
        <v>0</v>
      </c>
      <c r="P159" s="3"/>
      <c r="Q159" s="3">
        <v>0</v>
      </c>
      <c r="R159" s="3"/>
      <c r="S159" s="3">
        <v>0</v>
      </c>
      <c r="T159" s="3"/>
      <c r="U159" s="3">
        <v>0</v>
      </c>
      <c r="V159" s="3"/>
      <c r="W159" s="3">
        <v>0</v>
      </c>
      <c r="X159" s="3"/>
      <c r="Y159" s="3">
        <v>0</v>
      </c>
      <c r="Z159" s="3"/>
      <c r="AA159" s="3">
        <v>0</v>
      </c>
      <c r="AC159" s="9">
        <f t="shared" si="5"/>
        <v>0</v>
      </c>
    </row>
    <row r="160" spans="1:54" s="9" customFormat="1" ht="12">
      <c r="A160" s="3" t="s">
        <v>522</v>
      </c>
      <c r="B160" s="3"/>
      <c r="C160" s="3" t="s">
        <v>150</v>
      </c>
      <c r="D160" s="3"/>
      <c r="E160" s="3">
        <v>1334297.49</v>
      </c>
      <c r="F160" s="3"/>
      <c r="G160" s="3">
        <v>427955.33</v>
      </c>
      <c r="H160" s="3"/>
      <c r="I160" s="3">
        <v>816186.26</v>
      </c>
      <c r="J160" s="3"/>
      <c r="K160" s="3">
        <v>296512.92</v>
      </c>
      <c r="L160" s="3"/>
      <c r="M160" s="3">
        <v>117731.37</v>
      </c>
      <c r="N160" s="3"/>
      <c r="O160" s="3">
        <v>7419.5</v>
      </c>
      <c r="P160" s="3"/>
      <c r="Q160" s="3">
        <v>140889.17</v>
      </c>
      <c r="R160" s="3"/>
      <c r="S160" s="3">
        <v>185000</v>
      </c>
      <c r="T160" s="3"/>
      <c r="U160" s="3">
        <v>41117.5</v>
      </c>
      <c r="V160" s="3"/>
      <c r="W160" s="3">
        <v>210000</v>
      </c>
      <c r="X160" s="3"/>
      <c r="Y160" s="3">
        <v>0</v>
      </c>
      <c r="Z160" s="3"/>
      <c r="AA160" s="3">
        <v>0</v>
      </c>
      <c r="AB160" s="3"/>
      <c r="AC160" s="3">
        <f t="shared" si="5"/>
        <v>3577109.54</v>
      </c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</row>
    <row r="161" spans="1:54" s="9" customFormat="1" ht="12">
      <c r="A161" s="3" t="s">
        <v>151</v>
      </c>
      <c r="B161" s="3"/>
      <c r="C161" s="3" t="s">
        <v>56</v>
      </c>
      <c r="D161" s="3"/>
      <c r="E161" s="3">
        <v>449919.69</v>
      </c>
      <c r="F161" s="3"/>
      <c r="G161" s="3">
        <v>167797.15</v>
      </c>
      <c r="H161" s="3"/>
      <c r="I161" s="3">
        <v>162351.16</v>
      </c>
      <c r="J161" s="3"/>
      <c r="K161" s="3">
        <v>136286.02</v>
      </c>
      <c r="L161" s="3"/>
      <c r="M161" s="3">
        <v>19846.38</v>
      </c>
      <c r="N161" s="3"/>
      <c r="O161" s="3">
        <v>78.45</v>
      </c>
      <c r="P161" s="3"/>
      <c r="Q161" s="3">
        <v>5012.14</v>
      </c>
      <c r="R161" s="3"/>
      <c r="S161" s="3">
        <v>0</v>
      </c>
      <c r="T161" s="3"/>
      <c r="U161" s="3">
        <v>0</v>
      </c>
      <c r="V161" s="3"/>
      <c r="W161" s="3">
        <v>0</v>
      </c>
      <c r="X161" s="3"/>
      <c r="Y161" s="3">
        <v>0</v>
      </c>
      <c r="Z161" s="3"/>
      <c r="AA161" s="3">
        <v>0</v>
      </c>
      <c r="AB161" s="3"/>
      <c r="AC161" s="3">
        <f t="shared" si="5"/>
        <v>941290.99</v>
      </c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</row>
    <row r="162" spans="1:54" s="9" customFormat="1" ht="12">
      <c r="A162" s="3" t="s">
        <v>152</v>
      </c>
      <c r="B162" s="3"/>
      <c r="C162" s="3" t="s">
        <v>64</v>
      </c>
      <c r="D162" s="3"/>
      <c r="E162" s="3">
        <v>48000.09</v>
      </c>
      <c r="F162" s="3"/>
      <c r="G162" s="3">
        <v>12120.76</v>
      </c>
      <c r="H162" s="3"/>
      <c r="I162" s="3">
        <v>24087.76</v>
      </c>
      <c r="J162" s="3"/>
      <c r="K162" s="3">
        <v>24542.91</v>
      </c>
      <c r="L162" s="3"/>
      <c r="M162" s="3">
        <v>4396.67</v>
      </c>
      <c r="N162" s="3"/>
      <c r="O162" s="3">
        <v>1056</v>
      </c>
      <c r="P162" s="3"/>
      <c r="Q162" s="3">
        <v>11597.96</v>
      </c>
      <c r="R162" s="3"/>
      <c r="S162" s="3">
        <v>0</v>
      </c>
      <c r="T162" s="3"/>
      <c r="U162" s="3">
        <v>0</v>
      </c>
      <c r="V162" s="3"/>
      <c r="W162" s="3">
        <v>0</v>
      </c>
      <c r="X162" s="3"/>
      <c r="Y162" s="3">
        <v>0</v>
      </c>
      <c r="Z162" s="3"/>
      <c r="AA162" s="3">
        <v>0</v>
      </c>
      <c r="AB162" s="3"/>
      <c r="AC162" s="3">
        <f t="shared" si="5"/>
        <v>125802.15</v>
      </c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</row>
    <row r="163" spans="1:29" s="9" customFormat="1" ht="12">
      <c r="A163" s="9" t="s">
        <v>153</v>
      </c>
      <c r="C163" s="9" t="s">
        <v>53</v>
      </c>
      <c r="E163" s="9">
        <v>57812</v>
      </c>
      <c r="G163" s="9">
        <v>8654</v>
      </c>
      <c r="I163" s="9">
        <v>16869</v>
      </c>
      <c r="K163" s="9">
        <v>29956</v>
      </c>
      <c r="M163" s="9">
        <v>14924</v>
      </c>
      <c r="O163" s="9">
        <v>963</v>
      </c>
      <c r="Q163" s="9">
        <v>3551</v>
      </c>
      <c r="R163" s="3"/>
      <c r="S163" s="3">
        <v>0</v>
      </c>
      <c r="T163" s="3"/>
      <c r="U163" s="3">
        <v>0</v>
      </c>
      <c r="V163" s="3"/>
      <c r="W163" s="3">
        <v>0</v>
      </c>
      <c r="X163" s="3"/>
      <c r="Y163" s="3">
        <v>0</v>
      </c>
      <c r="Z163" s="3"/>
      <c r="AA163" s="3">
        <v>0</v>
      </c>
      <c r="AC163" s="9">
        <f t="shared" si="5"/>
        <v>132729</v>
      </c>
    </row>
    <row r="164" spans="1:29" s="9" customFormat="1" ht="12" hidden="1">
      <c r="A164" s="9" t="s">
        <v>236</v>
      </c>
      <c r="C164" s="9" t="s">
        <v>237</v>
      </c>
      <c r="E164" s="3">
        <v>0</v>
      </c>
      <c r="F164" s="3"/>
      <c r="G164" s="3">
        <v>0</v>
      </c>
      <c r="H164" s="3"/>
      <c r="I164" s="3">
        <v>0</v>
      </c>
      <c r="J164" s="3"/>
      <c r="K164" s="3">
        <v>0</v>
      </c>
      <c r="L164" s="3"/>
      <c r="M164" s="3">
        <v>0</v>
      </c>
      <c r="N164" s="3"/>
      <c r="O164" s="3">
        <v>0</v>
      </c>
      <c r="P164" s="3"/>
      <c r="Q164" s="3">
        <v>0</v>
      </c>
      <c r="R164" s="3"/>
      <c r="S164" s="3">
        <v>0</v>
      </c>
      <c r="T164" s="3"/>
      <c r="U164" s="3">
        <v>0</v>
      </c>
      <c r="V164" s="3"/>
      <c r="W164" s="3">
        <v>0</v>
      </c>
      <c r="X164" s="3"/>
      <c r="Y164" s="3">
        <v>0</v>
      </c>
      <c r="Z164" s="3"/>
      <c r="AA164" s="3">
        <v>0</v>
      </c>
      <c r="AC164" s="9">
        <f t="shared" si="5"/>
        <v>0</v>
      </c>
    </row>
    <row r="165" spans="1:29" s="9" customFormat="1" ht="12" hidden="1">
      <c r="A165" s="9" t="s">
        <v>391</v>
      </c>
      <c r="C165" s="9" t="s">
        <v>123</v>
      </c>
      <c r="E165" s="3">
        <v>0</v>
      </c>
      <c r="F165" s="3"/>
      <c r="G165" s="3">
        <v>0</v>
      </c>
      <c r="H165" s="3"/>
      <c r="I165" s="3">
        <v>0</v>
      </c>
      <c r="J165" s="3"/>
      <c r="K165" s="3">
        <v>0</v>
      </c>
      <c r="L165" s="3"/>
      <c r="M165" s="3">
        <v>0</v>
      </c>
      <c r="N165" s="3"/>
      <c r="O165" s="3">
        <v>0</v>
      </c>
      <c r="P165" s="3"/>
      <c r="Q165" s="3">
        <v>0</v>
      </c>
      <c r="R165" s="3"/>
      <c r="S165" s="3">
        <v>0</v>
      </c>
      <c r="T165" s="3"/>
      <c r="U165" s="3">
        <v>0</v>
      </c>
      <c r="V165" s="3"/>
      <c r="W165" s="3">
        <v>0</v>
      </c>
      <c r="X165" s="3"/>
      <c r="Y165" s="3">
        <v>0</v>
      </c>
      <c r="Z165" s="3"/>
      <c r="AA165" s="3">
        <v>0</v>
      </c>
      <c r="AC165" s="9">
        <f t="shared" si="5"/>
        <v>0</v>
      </c>
    </row>
    <row r="166" spans="1:54" s="9" customFormat="1" ht="12">
      <c r="A166" s="3" t="s">
        <v>154</v>
      </c>
      <c r="B166" s="3"/>
      <c r="C166" s="3" t="s">
        <v>57</v>
      </c>
      <c r="D166" s="3"/>
      <c r="E166" s="3">
        <v>830847.44</v>
      </c>
      <c r="F166" s="3"/>
      <c r="G166" s="3">
        <v>259168.4</v>
      </c>
      <c r="H166" s="3"/>
      <c r="I166" s="3">
        <v>166140.89</v>
      </c>
      <c r="J166" s="3"/>
      <c r="K166" s="3">
        <v>287922.66</v>
      </c>
      <c r="L166" s="3"/>
      <c r="M166" s="3">
        <v>50281.45</v>
      </c>
      <c r="N166" s="3"/>
      <c r="O166" s="3">
        <v>12052.52</v>
      </c>
      <c r="P166" s="3"/>
      <c r="Q166" s="3">
        <v>37939.06</v>
      </c>
      <c r="R166" s="3"/>
      <c r="S166" s="3">
        <v>0</v>
      </c>
      <c r="T166" s="3"/>
      <c r="U166" s="3">
        <v>0</v>
      </c>
      <c r="V166" s="3"/>
      <c r="W166" s="3">
        <v>0</v>
      </c>
      <c r="X166" s="3"/>
      <c r="Y166" s="3">
        <v>0</v>
      </c>
      <c r="Z166" s="3"/>
      <c r="AA166" s="3">
        <v>6367.41</v>
      </c>
      <c r="AB166" s="3"/>
      <c r="AC166" s="3">
        <f t="shared" si="5"/>
        <v>1650719.8299999998</v>
      </c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</row>
    <row r="167" spans="1:29" s="9" customFormat="1" ht="12" hidden="1">
      <c r="A167" s="9" t="s">
        <v>239</v>
      </c>
      <c r="C167" s="9" t="s">
        <v>84</v>
      </c>
      <c r="E167" s="3">
        <v>0</v>
      </c>
      <c r="F167" s="3"/>
      <c r="G167" s="3">
        <v>0</v>
      </c>
      <c r="H167" s="3"/>
      <c r="I167" s="3">
        <v>0</v>
      </c>
      <c r="J167" s="3"/>
      <c r="K167" s="3">
        <v>0</v>
      </c>
      <c r="L167" s="3"/>
      <c r="M167" s="3">
        <v>0</v>
      </c>
      <c r="N167" s="3"/>
      <c r="O167" s="3">
        <v>0</v>
      </c>
      <c r="P167" s="3"/>
      <c r="Q167" s="3">
        <v>0</v>
      </c>
      <c r="R167" s="3"/>
      <c r="S167" s="3">
        <v>0</v>
      </c>
      <c r="T167" s="3"/>
      <c r="U167" s="3">
        <v>0</v>
      </c>
      <c r="V167" s="3"/>
      <c r="W167" s="3">
        <v>0</v>
      </c>
      <c r="X167" s="3"/>
      <c r="Y167" s="3">
        <v>0</v>
      </c>
      <c r="Z167" s="3"/>
      <c r="AA167" s="3">
        <v>0</v>
      </c>
      <c r="AC167" s="9">
        <f t="shared" si="5"/>
        <v>0</v>
      </c>
    </row>
    <row r="168" spans="1:29" s="9" customFormat="1" ht="12" hidden="1">
      <c r="A168" s="9" t="s">
        <v>240</v>
      </c>
      <c r="C168" s="9" t="s">
        <v>69</v>
      </c>
      <c r="E168" s="3">
        <v>0</v>
      </c>
      <c r="F168" s="3"/>
      <c r="G168" s="3">
        <v>0</v>
      </c>
      <c r="H168" s="3"/>
      <c r="I168" s="3">
        <v>0</v>
      </c>
      <c r="J168" s="3"/>
      <c r="K168" s="3">
        <v>0</v>
      </c>
      <c r="L168" s="3"/>
      <c r="M168" s="3">
        <v>0</v>
      </c>
      <c r="N168" s="3"/>
      <c r="O168" s="3">
        <v>0</v>
      </c>
      <c r="P168" s="3"/>
      <c r="Q168" s="3">
        <v>0</v>
      </c>
      <c r="R168" s="3"/>
      <c r="S168" s="3">
        <v>0</v>
      </c>
      <c r="T168" s="3"/>
      <c r="U168" s="3">
        <v>0</v>
      </c>
      <c r="V168" s="3"/>
      <c r="W168" s="3">
        <v>0</v>
      </c>
      <c r="X168" s="3"/>
      <c r="Y168" s="3">
        <v>0</v>
      </c>
      <c r="Z168" s="3"/>
      <c r="AA168" s="3">
        <v>0</v>
      </c>
      <c r="AC168" s="9">
        <f t="shared" si="5"/>
        <v>0</v>
      </c>
    </row>
    <row r="169" spans="1:54" s="9" customFormat="1" ht="12">
      <c r="A169" s="3" t="s">
        <v>155</v>
      </c>
      <c r="B169" s="3"/>
      <c r="C169" s="3" t="s">
        <v>55</v>
      </c>
      <c r="D169" s="3"/>
      <c r="E169" s="3">
        <v>328094.45</v>
      </c>
      <c r="F169" s="3"/>
      <c r="G169" s="3">
        <v>75584.16</v>
      </c>
      <c r="H169" s="3"/>
      <c r="I169" s="3">
        <v>119599.82</v>
      </c>
      <c r="J169" s="3"/>
      <c r="K169" s="3">
        <v>118189.95</v>
      </c>
      <c r="L169" s="3"/>
      <c r="M169" s="3">
        <v>23810.14</v>
      </c>
      <c r="N169" s="3"/>
      <c r="O169" s="3">
        <v>2037.31</v>
      </c>
      <c r="P169" s="3"/>
      <c r="Q169" s="3">
        <v>13326.49</v>
      </c>
      <c r="R169" s="3"/>
      <c r="S169" s="3">
        <v>0</v>
      </c>
      <c r="T169" s="3"/>
      <c r="U169" s="3">
        <v>0</v>
      </c>
      <c r="V169" s="3"/>
      <c r="W169" s="3">
        <v>0</v>
      </c>
      <c r="X169" s="3"/>
      <c r="Y169" s="3">
        <v>0</v>
      </c>
      <c r="Z169" s="3"/>
      <c r="AA169" s="3">
        <v>0</v>
      </c>
      <c r="AB169" s="3"/>
      <c r="AC169" s="3">
        <f t="shared" si="5"/>
        <v>680642.3200000001</v>
      </c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</row>
    <row r="170" spans="1:29" s="9" customFormat="1" ht="12" hidden="1">
      <c r="A170" s="9" t="s">
        <v>241</v>
      </c>
      <c r="C170" s="9" t="s">
        <v>27</v>
      </c>
      <c r="E170" s="3">
        <v>0</v>
      </c>
      <c r="F170" s="3"/>
      <c r="G170" s="3">
        <v>0</v>
      </c>
      <c r="H170" s="3"/>
      <c r="I170" s="3">
        <v>0</v>
      </c>
      <c r="J170" s="3"/>
      <c r="K170" s="3">
        <v>0</v>
      </c>
      <c r="L170" s="3"/>
      <c r="M170" s="3">
        <v>0</v>
      </c>
      <c r="N170" s="3"/>
      <c r="O170" s="3">
        <v>0</v>
      </c>
      <c r="P170" s="3"/>
      <c r="Q170" s="3">
        <v>0</v>
      </c>
      <c r="R170" s="3"/>
      <c r="S170" s="3">
        <v>0</v>
      </c>
      <c r="T170" s="3"/>
      <c r="U170" s="3">
        <v>0</v>
      </c>
      <c r="V170" s="3"/>
      <c r="W170" s="3">
        <v>0</v>
      </c>
      <c r="X170" s="3"/>
      <c r="Y170" s="3">
        <v>0</v>
      </c>
      <c r="Z170" s="3"/>
      <c r="AA170" s="3">
        <v>0</v>
      </c>
      <c r="AC170" s="9">
        <f t="shared" si="5"/>
        <v>0</v>
      </c>
    </row>
    <row r="171" spans="1:29" s="9" customFormat="1" ht="12">
      <c r="A171" s="9" t="s">
        <v>156</v>
      </c>
      <c r="C171" s="9" t="s">
        <v>157</v>
      </c>
      <c r="E171" s="9">
        <v>526653</v>
      </c>
      <c r="G171" s="9">
        <v>157401</v>
      </c>
      <c r="I171" s="9">
        <v>154856</v>
      </c>
      <c r="K171" s="9">
        <v>153925</v>
      </c>
      <c r="M171" s="9">
        <v>33301</v>
      </c>
      <c r="O171" s="9">
        <v>4998</v>
      </c>
      <c r="Q171" s="9">
        <v>68159</v>
      </c>
      <c r="S171" s="9">
        <v>0</v>
      </c>
      <c r="U171" s="9">
        <v>0</v>
      </c>
      <c r="W171" s="9">
        <v>0</v>
      </c>
      <c r="Y171" s="9">
        <v>0</v>
      </c>
      <c r="AA171" s="9">
        <v>0</v>
      </c>
      <c r="AC171" s="9">
        <f t="shared" si="5"/>
        <v>1099293</v>
      </c>
    </row>
    <row r="172" spans="1:29" s="9" customFormat="1" ht="12" hidden="1">
      <c r="A172" s="9" t="s">
        <v>243</v>
      </c>
      <c r="C172" s="9" t="s">
        <v>244</v>
      </c>
      <c r="E172" s="3">
        <v>0</v>
      </c>
      <c r="F172" s="3"/>
      <c r="G172" s="3">
        <v>0</v>
      </c>
      <c r="H172" s="3"/>
      <c r="I172" s="3">
        <v>0</v>
      </c>
      <c r="J172" s="3"/>
      <c r="K172" s="3">
        <v>0</v>
      </c>
      <c r="L172" s="3"/>
      <c r="M172" s="3">
        <v>0</v>
      </c>
      <c r="N172" s="3"/>
      <c r="O172" s="3">
        <v>0</v>
      </c>
      <c r="P172" s="3"/>
      <c r="Q172" s="3">
        <v>0</v>
      </c>
      <c r="R172" s="3"/>
      <c r="S172" s="3">
        <v>0</v>
      </c>
      <c r="T172" s="3"/>
      <c r="U172" s="3">
        <v>0</v>
      </c>
      <c r="V172" s="3"/>
      <c r="W172" s="3">
        <v>0</v>
      </c>
      <c r="X172" s="3"/>
      <c r="Y172" s="3">
        <v>0</v>
      </c>
      <c r="Z172" s="3"/>
      <c r="AA172" s="3">
        <v>0</v>
      </c>
      <c r="AC172" s="9">
        <f t="shared" si="5"/>
        <v>0</v>
      </c>
    </row>
    <row r="173" spans="1:29" s="9" customFormat="1" ht="12" hidden="1">
      <c r="A173" s="9" t="s">
        <v>245</v>
      </c>
      <c r="C173" s="9" t="s">
        <v>45</v>
      </c>
      <c r="E173" s="3">
        <v>0</v>
      </c>
      <c r="F173" s="3"/>
      <c r="G173" s="3">
        <v>0</v>
      </c>
      <c r="H173" s="3"/>
      <c r="I173" s="3">
        <v>0</v>
      </c>
      <c r="J173" s="3"/>
      <c r="K173" s="3">
        <v>0</v>
      </c>
      <c r="L173" s="3"/>
      <c r="M173" s="3">
        <v>0</v>
      </c>
      <c r="N173" s="3"/>
      <c r="O173" s="3">
        <v>0</v>
      </c>
      <c r="P173" s="3"/>
      <c r="Q173" s="3">
        <v>0</v>
      </c>
      <c r="R173" s="3"/>
      <c r="S173" s="3">
        <v>0</v>
      </c>
      <c r="T173" s="3"/>
      <c r="U173" s="3">
        <v>0</v>
      </c>
      <c r="V173" s="3"/>
      <c r="W173" s="3">
        <v>0</v>
      </c>
      <c r="X173" s="3"/>
      <c r="Y173" s="3">
        <v>0</v>
      </c>
      <c r="Z173" s="3"/>
      <c r="AA173" s="3">
        <v>0</v>
      </c>
      <c r="AC173" s="9">
        <f t="shared" si="5"/>
        <v>0</v>
      </c>
    </row>
    <row r="174" spans="1:29" s="9" customFormat="1" ht="12" hidden="1">
      <c r="A174" s="9" t="s">
        <v>246</v>
      </c>
      <c r="C174" s="9" t="s">
        <v>68</v>
      </c>
      <c r="E174" s="3">
        <v>0</v>
      </c>
      <c r="F174" s="3"/>
      <c r="G174" s="3">
        <v>0</v>
      </c>
      <c r="H174" s="3"/>
      <c r="I174" s="3">
        <v>0</v>
      </c>
      <c r="J174" s="3"/>
      <c r="K174" s="3">
        <v>0</v>
      </c>
      <c r="L174" s="3"/>
      <c r="M174" s="3">
        <v>0</v>
      </c>
      <c r="N174" s="3"/>
      <c r="O174" s="3">
        <v>0</v>
      </c>
      <c r="P174" s="3"/>
      <c r="Q174" s="3">
        <v>0</v>
      </c>
      <c r="R174" s="3"/>
      <c r="S174" s="3">
        <v>0</v>
      </c>
      <c r="T174" s="3"/>
      <c r="U174" s="3">
        <v>0</v>
      </c>
      <c r="V174" s="3"/>
      <c r="W174" s="3">
        <v>0</v>
      </c>
      <c r="X174" s="3"/>
      <c r="Y174" s="3">
        <v>0</v>
      </c>
      <c r="Z174" s="3"/>
      <c r="AA174" s="3">
        <v>0</v>
      </c>
      <c r="AC174" s="9">
        <f t="shared" si="5"/>
        <v>0</v>
      </c>
    </row>
    <row r="175" spans="1:54" s="9" customFormat="1" ht="12">
      <c r="A175" s="3" t="s">
        <v>159</v>
      </c>
      <c r="B175" s="3"/>
      <c r="C175" s="3" t="s">
        <v>58</v>
      </c>
      <c r="D175" s="3"/>
      <c r="E175" s="3">
        <v>456205.04</v>
      </c>
      <c r="F175" s="3"/>
      <c r="G175" s="3">
        <v>119360.82</v>
      </c>
      <c r="H175" s="3"/>
      <c r="I175" s="3">
        <v>201942.54</v>
      </c>
      <c r="J175" s="3"/>
      <c r="K175" s="3">
        <v>97691.77</v>
      </c>
      <c r="L175" s="3"/>
      <c r="M175" s="3">
        <v>16785.67</v>
      </c>
      <c r="N175" s="3"/>
      <c r="O175" s="3">
        <v>5140.64</v>
      </c>
      <c r="P175" s="3"/>
      <c r="Q175" s="3">
        <v>156492.38</v>
      </c>
      <c r="R175" s="3"/>
      <c r="S175" s="3">
        <v>0</v>
      </c>
      <c r="T175" s="3"/>
      <c r="U175" s="3">
        <v>0</v>
      </c>
      <c r="V175" s="3"/>
      <c r="W175" s="3">
        <v>835000</v>
      </c>
      <c r="X175" s="3"/>
      <c r="Y175" s="3">
        <v>0</v>
      </c>
      <c r="Z175" s="3"/>
      <c r="AA175" s="3">
        <v>0</v>
      </c>
      <c r="AB175" s="3"/>
      <c r="AC175" s="3">
        <f t="shared" si="5"/>
        <v>1888618.86</v>
      </c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</row>
    <row r="176" spans="1:54" s="9" customFormat="1" ht="12">
      <c r="A176" s="3" t="s">
        <v>523</v>
      </c>
      <c r="B176" s="3"/>
      <c r="C176" s="3" t="s">
        <v>59</v>
      </c>
      <c r="D176" s="3"/>
      <c r="E176" s="3">
        <v>427348.05</v>
      </c>
      <c r="F176" s="3"/>
      <c r="G176" s="3">
        <v>190131.8</v>
      </c>
      <c r="H176" s="3"/>
      <c r="I176" s="3">
        <v>102047.31</v>
      </c>
      <c r="J176" s="3"/>
      <c r="K176" s="3">
        <v>122741.38</v>
      </c>
      <c r="L176" s="3"/>
      <c r="M176" s="3">
        <v>21580.75</v>
      </c>
      <c r="N176" s="3"/>
      <c r="O176" s="3">
        <v>10315.17</v>
      </c>
      <c r="P176" s="3"/>
      <c r="Q176" s="3">
        <v>18865.01</v>
      </c>
      <c r="R176" s="3"/>
      <c r="S176" s="3">
        <v>0</v>
      </c>
      <c r="T176" s="3"/>
      <c r="U176" s="3">
        <v>0</v>
      </c>
      <c r="V176" s="3"/>
      <c r="W176" s="3">
        <v>0</v>
      </c>
      <c r="X176" s="3"/>
      <c r="Y176" s="3">
        <v>0</v>
      </c>
      <c r="Z176" s="3"/>
      <c r="AA176" s="3">
        <v>0</v>
      </c>
      <c r="AB176" s="3"/>
      <c r="AC176" s="3">
        <f t="shared" si="5"/>
        <v>893029.47</v>
      </c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</row>
    <row r="177" spans="1:29" s="9" customFormat="1" ht="12" hidden="1">
      <c r="A177" s="9" t="s">
        <v>248</v>
      </c>
      <c r="C177" s="9" t="s">
        <v>95</v>
      </c>
      <c r="E177" s="3">
        <v>0</v>
      </c>
      <c r="F177" s="3"/>
      <c r="G177" s="3">
        <v>0</v>
      </c>
      <c r="H177" s="3"/>
      <c r="I177" s="3">
        <v>0</v>
      </c>
      <c r="J177" s="3"/>
      <c r="K177" s="3">
        <v>0</v>
      </c>
      <c r="L177" s="3"/>
      <c r="M177" s="3">
        <v>0</v>
      </c>
      <c r="N177" s="3"/>
      <c r="O177" s="3">
        <v>0</v>
      </c>
      <c r="P177" s="3"/>
      <c r="Q177" s="3">
        <v>0</v>
      </c>
      <c r="R177" s="3"/>
      <c r="S177" s="3">
        <v>0</v>
      </c>
      <c r="T177" s="3"/>
      <c r="U177" s="3">
        <v>0</v>
      </c>
      <c r="V177" s="3"/>
      <c r="W177" s="3">
        <v>0</v>
      </c>
      <c r="X177" s="3"/>
      <c r="Y177" s="3">
        <v>0</v>
      </c>
      <c r="Z177" s="3"/>
      <c r="AA177" s="3">
        <v>0</v>
      </c>
      <c r="AC177" s="9">
        <f t="shared" si="5"/>
        <v>0</v>
      </c>
    </row>
    <row r="178" spans="1:54" s="9" customFormat="1" ht="12">
      <c r="A178" s="3" t="s">
        <v>524</v>
      </c>
      <c r="B178" s="3"/>
      <c r="C178" s="3" t="s">
        <v>27</v>
      </c>
      <c r="D178" s="3"/>
      <c r="E178" s="3">
        <v>84431.03</v>
      </c>
      <c r="F178" s="3"/>
      <c r="G178" s="3">
        <v>13184.51</v>
      </c>
      <c r="H178" s="3"/>
      <c r="I178" s="3">
        <v>17131.16</v>
      </c>
      <c r="J178" s="3"/>
      <c r="K178" s="3">
        <v>30012.31</v>
      </c>
      <c r="L178" s="3"/>
      <c r="M178" s="3">
        <v>6121.18</v>
      </c>
      <c r="N178" s="3"/>
      <c r="O178" s="3">
        <v>410</v>
      </c>
      <c r="P178" s="3"/>
      <c r="Q178" s="3">
        <v>1706</v>
      </c>
      <c r="R178" s="3"/>
      <c r="S178" s="3">
        <v>0</v>
      </c>
      <c r="T178" s="3"/>
      <c r="U178" s="3">
        <v>0</v>
      </c>
      <c r="V178" s="3"/>
      <c r="W178" s="3">
        <v>0</v>
      </c>
      <c r="X178" s="3"/>
      <c r="Y178" s="3">
        <v>0</v>
      </c>
      <c r="Z178" s="3"/>
      <c r="AA178" s="3">
        <v>8</v>
      </c>
      <c r="AB178" s="3"/>
      <c r="AC178" s="3">
        <f t="shared" si="5"/>
        <v>153004.19</v>
      </c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</row>
    <row r="179" spans="1:54" s="9" customFormat="1" ht="12">
      <c r="A179" s="3" t="s">
        <v>160</v>
      </c>
      <c r="B179" s="3"/>
      <c r="C179" s="3" t="s">
        <v>60</v>
      </c>
      <c r="D179" s="3"/>
      <c r="E179" s="3">
        <v>320117.66</v>
      </c>
      <c r="F179" s="3"/>
      <c r="G179" s="3">
        <v>98262.33</v>
      </c>
      <c r="H179" s="3"/>
      <c r="I179" s="3">
        <v>112224.22</v>
      </c>
      <c r="J179" s="3"/>
      <c r="K179" s="3">
        <v>120792.95</v>
      </c>
      <c r="L179" s="3"/>
      <c r="M179" s="3">
        <v>10291.65</v>
      </c>
      <c r="N179" s="3"/>
      <c r="O179" s="3">
        <v>4653.69</v>
      </c>
      <c r="P179" s="3"/>
      <c r="Q179" s="3">
        <v>24722.64</v>
      </c>
      <c r="R179" s="3"/>
      <c r="S179" s="3">
        <v>0</v>
      </c>
      <c r="T179" s="3"/>
      <c r="U179" s="3">
        <v>0</v>
      </c>
      <c r="V179" s="3"/>
      <c r="W179" s="3">
        <v>40000</v>
      </c>
      <c r="X179" s="3"/>
      <c r="Y179" s="3">
        <v>0</v>
      </c>
      <c r="Z179" s="3"/>
      <c r="AA179" s="3">
        <v>0</v>
      </c>
      <c r="AB179" s="3"/>
      <c r="AC179" s="3">
        <f t="shared" si="5"/>
        <v>731065.1399999999</v>
      </c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</row>
    <row r="180" spans="1:29" s="9" customFormat="1" ht="12" hidden="1">
      <c r="A180" s="9" t="s">
        <v>251</v>
      </c>
      <c r="C180" s="9" t="s">
        <v>60</v>
      </c>
      <c r="E180" s="3">
        <v>0</v>
      </c>
      <c r="F180" s="3"/>
      <c r="G180" s="3">
        <v>0</v>
      </c>
      <c r="H180" s="3"/>
      <c r="I180" s="3">
        <v>0</v>
      </c>
      <c r="J180" s="3"/>
      <c r="K180" s="3">
        <v>0</v>
      </c>
      <c r="L180" s="3"/>
      <c r="M180" s="3">
        <v>0</v>
      </c>
      <c r="N180" s="3"/>
      <c r="O180" s="3">
        <v>0</v>
      </c>
      <c r="P180" s="3"/>
      <c r="Q180" s="3">
        <v>0</v>
      </c>
      <c r="R180" s="3"/>
      <c r="S180" s="3">
        <v>0</v>
      </c>
      <c r="T180" s="3"/>
      <c r="U180" s="3">
        <v>0</v>
      </c>
      <c r="V180" s="3"/>
      <c r="W180" s="3">
        <v>0</v>
      </c>
      <c r="X180" s="3"/>
      <c r="Y180" s="3">
        <v>0</v>
      </c>
      <c r="Z180" s="3"/>
      <c r="AA180" s="3">
        <v>0</v>
      </c>
      <c r="AC180" s="9">
        <f t="shared" si="5"/>
        <v>0</v>
      </c>
    </row>
    <row r="181" spans="1:29" s="9" customFormat="1" ht="12" hidden="1">
      <c r="A181" s="9" t="s">
        <v>393</v>
      </c>
      <c r="C181" s="9" t="s">
        <v>186</v>
      </c>
      <c r="E181" s="3">
        <v>0</v>
      </c>
      <c r="F181" s="3"/>
      <c r="G181" s="3">
        <v>0</v>
      </c>
      <c r="H181" s="3"/>
      <c r="I181" s="3">
        <v>0</v>
      </c>
      <c r="J181" s="3"/>
      <c r="K181" s="3">
        <v>0</v>
      </c>
      <c r="L181" s="3"/>
      <c r="M181" s="3">
        <v>0</v>
      </c>
      <c r="N181" s="3"/>
      <c r="O181" s="3">
        <v>0</v>
      </c>
      <c r="P181" s="3"/>
      <c r="Q181" s="3">
        <v>0</v>
      </c>
      <c r="R181" s="3"/>
      <c r="S181" s="3">
        <v>0</v>
      </c>
      <c r="T181" s="3"/>
      <c r="U181" s="3">
        <v>0</v>
      </c>
      <c r="V181" s="3"/>
      <c r="W181" s="3">
        <v>0</v>
      </c>
      <c r="X181" s="3"/>
      <c r="Y181" s="3">
        <v>0</v>
      </c>
      <c r="Z181" s="3"/>
      <c r="AA181" s="3">
        <v>0</v>
      </c>
      <c r="AC181" s="9">
        <f aca="true" t="shared" si="6" ref="AC181:AC212">SUM(E181:AA181)</f>
        <v>0</v>
      </c>
    </row>
    <row r="182" spans="1:54" s="9" customFormat="1" ht="12">
      <c r="A182" s="3" t="s">
        <v>350</v>
      </c>
      <c r="B182" s="3"/>
      <c r="C182" s="3" t="s">
        <v>46</v>
      </c>
      <c r="D182" s="3"/>
      <c r="E182" s="3">
        <v>92566.55</v>
      </c>
      <c r="F182" s="3"/>
      <c r="G182" s="3">
        <v>13893.21</v>
      </c>
      <c r="H182" s="3"/>
      <c r="I182" s="3">
        <v>32094.04</v>
      </c>
      <c r="J182" s="3"/>
      <c r="K182" s="3">
        <v>36661.12</v>
      </c>
      <c r="L182" s="3"/>
      <c r="M182" s="3">
        <v>8290.56</v>
      </c>
      <c r="N182" s="3"/>
      <c r="O182" s="3">
        <v>12296.11</v>
      </c>
      <c r="P182" s="3"/>
      <c r="Q182" s="3">
        <v>14452.6</v>
      </c>
      <c r="R182" s="3"/>
      <c r="S182" s="3">
        <v>0</v>
      </c>
      <c r="T182" s="3"/>
      <c r="U182" s="3">
        <v>0</v>
      </c>
      <c r="V182" s="3"/>
      <c r="W182" s="3">
        <v>0</v>
      </c>
      <c r="X182" s="3"/>
      <c r="Y182" s="3">
        <v>0</v>
      </c>
      <c r="Z182" s="3"/>
      <c r="AA182" s="3">
        <v>0</v>
      </c>
      <c r="AB182" s="3"/>
      <c r="AC182" s="3">
        <f t="shared" si="6"/>
        <v>210254.19000000003</v>
      </c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</row>
    <row r="183" spans="1:29" s="9" customFormat="1" ht="12" hidden="1">
      <c r="A183" s="9" t="s">
        <v>255</v>
      </c>
      <c r="C183" s="9" t="s">
        <v>44</v>
      </c>
      <c r="E183" s="3">
        <v>0</v>
      </c>
      <c r="F183" s="3"/>
      <c r="G183" s="3">
        <v>0</v>
      </c>
      <c r="H183" s="3"/>
      <c r="I183" s="3">
        <v>0</v>
      </c>
      <c r="J183" s="3"/>
      <c r="K183" s="3">
        <v>0</v>
      </c>
      <c r="L183" s="3"/>
      <c r="M183" s="3">
        <v>0</v>
      </c>
      <c r="N183" s="3"/>
      <c r="O183" s="3">
        <v>0</v>
      </c>
      <c r="P183" s="3"/>
      <c r="Q183" s="3">
        <v>0</v>
      </c>
      <c r="R183" s="3"/>
      <c r="S183" s="3">
        <v>0</v>
      </c>
      <c r="T183" s="3"/>
      <c r="U183" s="3">
        <v>0</v>
      </c>
      <c r="V183" s="3"/>
      <c r="W183" s="3">
        <v>0</v>
      </c>
      <c r="X183" s="3"/>
      <c r="Y183" s="3">
        <v>0</v>
      </c>
      <c r="Z183" s="3"/>
      <c r="AA183" s="3">
        <v>0</v>
      </c>
      <c r="AC183" s="9">
        <f t="shared" si="6"/>
        <v>0</v>
      </c>
    </row>
    <row r="184" spans="1:29" s="9" customFormat="1" ht="12" hidden="1">
      <c r="A184" s="9" t="s">
        <v>256</v>
      </c>
      <c r="C184" s="9" t="s">
        <v>63</v>
      </c>
      <c r="E184" s="3">
        <v>0</v>
      </c>
      <c r="F184" s="3"/>
      <c r="G184" s="3">
        <v>0</v>
      </c>
      <c r="H184" s="3"/>
      <c r="I184" s="3">
        <v>0</v>
      </c>
      <c r="J184" s="3"/>
      <c r="K184" s="3">
        <v>0</v>
      </c>
      <c r="L184" s="3"/>
      <c r="M184" s="3">
        <v>0</v>
      </c>
      <c r="N184" s="3"/>
      <c r="O184" s="3">
        <v>0</v>
      </c>
      <c r="P184" s="3"/>
      <c r="Q184" s="3">
        <v>0</v>
      </c>
      <c r="R184" s="3"/>
      <c r="S184" s="3">
        <v>0</v>
      </c>
      <c r="T184" s="3"/>
      <c r="U184" s="3">
        <v>0</v>
      </c>
      <c r="V184" s="3"/>
      <c r="W184" s="3">
        <v>0</v>
      </c>
      <c r="X184" s="3"/>
      <c r="Y184" s="3">
        <v>0</v>
      </c>
      <c r="Z184" s="3"/>
      <c r="AA184" s="3">
        <v>0</v>
      </c>
      <c r="AC184" s="9">
        <f t="shared" si="6"/>
        <v>0</v>
      </c>
    </row>
    <row r="185" spans="1:29" s="9" customFormat="1" ht="12">
      <c r="A185" s="9" t="s">
        <v>162</v>
      </c>
      <c r="C185" s="9" t="s">
        <v>98</v>
      </c>
      <c r="E185" s="9">
        <f>1787913+215535</f>
        <v>2003448</v>
      </c>
      <c r="G185" s="9">
        <v>0</v>
      </c>
      <c r="I185" s="9">
        <f>392541+320+78+245667</f>
        <v>638606</v>
      </c>
      <c r="K185" s="9">
        <f>79852+308664</f>
        <v>388516</v>
      </c>
      <c r="M185" s="9">
        <f>726+61664</f>
        <v>62390</v>
      </c>
      <c r="O185" s="9">
        <f>13090+105</f>
        <v>13195</v>
      </c>
      <c r="Q185" s="9">
        <f>41201+800+378748+16820</f>
        <v>437569</v>
      </c>
      <c r="S185" s="9">
        <v>205000</v>
      </c>
      <c r="U185" s="9">
        <v>10992</v>
      </c>
      <c r="W185" s="9">
        <v>276735</v>
      </c>
      <c r="X185" s="3"/>
      <c r="Y185" s="3">
        <v>0</v>
      </c>
      <c r="Z185" s="3"/>
      <c r="AA185" s="3">
        <v>0</v>
      </c>
      <c r="AC185" s="9">
        <f t="shared" si="6"/>
        <v>4036451</v>
      </c>
    </row>
    <row r="186" spans="1:29" s="9" customFormat="1" ht="12" hidden="1">
      <c r="A186" s="9" t="s">
        <v>259</v>
      </c>
      <c r="C186" s="9" t="s">
        <v>258</v>
      </c>
      <c r="E186" s="3">
        <v>0</v>
      </c>
      <c r="F186" s="3"/>
      <c r="G186" s="3">
        <v>0</v>
      </c>
      <c r="H186" s="3"/>
      <c r="I186" s="3">
        <v>0</v>
      </c>
      <c r="J186" s="3"/>
      <c r="K186" s="3">
        <v>0</v>
      </c>
      <c r="L186" s="3"/>
      <c r="M186" s="3">
        <v>0</v>
      </c>
      <c r="N186" s="3"/>
      <c r="O186" s="3">
        <v>0</v>
      </c>
      <c r="P186" s="3"/>
      <c r="Q186" s="3">
        <v>0</v>
      </c>
      <c r="R186" s="3"/>
      <c r="S186" s="3">
        <v>0</v>
      </c>
      <c r="T186" s="3"/>
      <c r="U186" s="3">
        <v>0</v>
      </c>
      <c r="V186" s="3"/>
      <c r="W186" s="3">
        <v>0</v>
      </c>
      <c r="X186" s="3"/>
      <c r="Y186" s="3">
        <v>0</v>
      </c>
      <c r="Z186" s="3"/>
      <c r="AA186" s="3">
        <v>0</v>
      </c>
      <c r="AC186" s="9">
        <f t="shared" si="6"/>
        <v>0</v>
      </c>
    </row>
    <row r="187" spans="1:29" s="9" customFormat="1" ht="12" hidden="1">
      <c r="A187" s="9" t="s">
        <v>260</v>
      </c>
      <c r="C187" s="9" t="s">
        <v>68</v>
      </c>
      <c r="E187" s="3">
        <v>0</v>
      </c>
      <c r="F187" s="3"/>
      <c r="G187" s="3">
        <v>0</v>
      </c>
      <c r="H187" s="3"/>
      <c r="I187" s="3">
        <v>0</v>
      </c>
      <c r="J187" s="3"/>
      <c r="K187" s="3">
        <v>0</v>
      </c>
      <c r="L187" s="3"/>
      <c r="M187" s="3">
        <v>0</v>
      </c>
      <c r="N187" s="3"/>
      <c r="O187" s="3">
        <v>0</v>
      </c>
      <c r="P187" s="3"/>
      <c r="Q187" s="3">
        <v>0</v>
      </c>
      <c r="R187" s="3"/>
      <c r="S187" s="3">
        <v>0</v>
      </c>
      <c r="T187" s="3"/>
      <c r="U187" s="3">
        <v>0</v>
      </c>
      <c r="V187" s="3"/>
      <c r="W187" s="3">
        <v>0</v>
      </c>
      <c r="X187" s="3"/>
      <c r="Y187" s="3">
        <v>0</v>
      </c>
      <c r="Z187" s="3"/>
      <c r="AA187" s="3">
        <v>0</v>
      </c>
      <c r="AC187" s="9">
        <f t="shared" si="6"/>
        <v>0</v>
      </c>
    </row>
    <row r="188" spans="1:29" s="9" customFormat="1" ht="12" hidden="1">
      <c r="A188" s="9" t="s">
        <v>261</v>
      </c>
      <c r="C188" s="9" t="s">
        <v>23</v>
      </c>
      <c r="E188" s="3">
        <v>0</v>
      </c>
      <c r="F188" s="3"/>
      <c r="G188" s="3">
        <v>0</v>
      </c>
      <c r="H188" s="3"/>
      <c r="I188" s="3">
        <v>0</v>
      </c>
      <c r="J188" s="3"/>
      <c r="K188" s="3">
        <v>0</v>
      </c>
      <c r="L188" s="3"/>
      <c r="M188" s="3">
        <v>0</v>
      </c>
      <c r="N188" s="3"/>
      <c r="O188" s="3">
        <v>0</v>
      </c>
      <c r="P188" s="3"/>
      <c r="Q188" s="3">
        <v>0</v>
      </c>
      <c r="R188" s="3"/>
      <c r="S188" s="3">
        <v>0</v>
      </c>
      <c r="T188" s="3"/>
      <c r="U188" s="3">
        <v>0</v>
      </c>
      <c r="V188" s="3"/>
      <c r="W188" s="3">
        <v>0</v>
      </c>
      <c r="X188" s="3"/>
      <c r="Y188" s="3">
        <v>0</v>
      </c>
      <c r="Z188" s="3"/>
      <c r="AA188" s="3">
        <v>0</v>
      </c>
      <c r="AC188" s="9">
        <f t="shared" si="6"/>
        <v>0</v>
      </c>
    </row>
    <row r="189" spans="1:29" s="9" customFormat="1" ht="12" hidden="1">
      <c r="A189" s="9" t="s">
        <v>399</v>
      </c>
      <c r="C189" s="9" t="s">
        <v>69</v>
      </c>
      <c r="E189" s="3">
        <v>0</v>
      </c>
      <c r="F189" s="3"/>
      <c r="G189" s="3">
        <v>0</v>
      </c>
      <c r="H189" s="3"/>
      <c r="I189" s="3">
        <v>0</v>
      </c>
      <c r="J189" s="3"/>
      <c r="K189" s="3">
        <v>0</v>
      </c>
      <c r="L189" s="3"/>
      <c r="M189" s="3">
        <v>0</v>
      </c>
      <c r="N189" s="3"/>
      <c r="O189" s="3">
        <v>0</v>
      </c>
      <c r="P189" s="3"/>
      <c r="Q189" s="3">
        <v>0</v>
      </c>
      <c r="R189" s="3"/>
      <c r="S189" s="3">
        <v>0</v>
      </c>
      <c r="T189" s="3"/>
      <c r="U189" s="3">
        <v>0</v>
      </c>
      <c r="V189" s="3"/>
      <c r="W189" s="3">
        <v>0</v>
      </c>
      <c r="X189" s="3"/>
      <c r="Y189" s="3">
        <v>0</v>
      </c>
      <c r="Z189" s="3"/>
      <c r="AA189" s="3">
        <v>0</v>
      </c>
      <c r="AC189" s="9">
        <f t="shared" si="6"/>
        <v>0</v>
      </c>
    </row>
    <row r="190" spans="1:29" s="9" customFormat="1" ht="12">
      <c r="A190" s="9" t="s">
        <v>163</v>
      </c>
      <c r="C190" s="9" t="s">
        <v>44</v>
      </c>
      <c r="E190" s="9">
        <v>429905</v>
      </c>
      <c r="G190" s="9">
        <v>118130</v>
      </c>
      <c r="I190" s="9">
        <v>105735</v>
      </c>
      <c r="K190" s="9">
        <v>81156</v>
      </c>
      <c r="M190" s="9">
        <v>8697</v>
      </c>
      <c r="O190" s="9">
        <v>2410</v>
      </c>
      <c r="P190" s="3"/>
      <c r="Q190" s="3">
        <v>2134914</v>
      </c>
      <c r="R190" s="3"/>
      <c r="S190" s="3">
        <v>0</v>
      </c>
      <c r="T190" s="3"/>
      <c r="U190" s="3">
        <v>0</v>
      </c>
      <c r="V190" s="3"/>
      <c r="W190" s="3">
        <v>0</v>
      </c>
      <c r="X190" s="3"/>
      <c r="Y190" s="3">
        <v>0</v>
      </c>
      <c r="Z190" s="3"/>
      <c r="AA190" s="3">
        <v>0</v>
      </c>
      <c r="AC190" s="9">
        <f t="shared" si="6"/>
        <v>2880947</v>
      </c>
    </row>
    <row r="191" spans="1:29" s="9" customFormat="1" ht="12" hidden="1">
      <c r="A191" s="9" t="s">
        <v>264</v>
      </c>
      <c r="C191" s="9" t="s">
        <v>16</v>
      </c>
      <c r="E191" s="3">
        <v>0</v>
      </c>
      <c r="F191" s="3"/>
      <c r="G191" s="3">
        <v>0</v>
      </c>
      <c r="H191" s="3"/>
      <c r="I191" s="3">
        <v>0</v>
      </c>
      <c r="J191" s="3"/>
      <c r="K191" s="3">
        <v>0</v>
      </c>
      <c r="L191" s="3"/>
      <c r="M191" s="3">
        <v>0</v>
      </c>
      <c r="N191" s="3"/>
      <c r="O191" s="3">
        <v>0</v>
      </c>
      <c r="P191" s="3"/>
      <c r="Q191" s="3">
        <v>0</v>
      </c>
      <c r="R191" s="3"/>
      <c r="S191" s="3">
        <v>0</v>
      </c>
      <c r="T191" s="3"/>
      <c r="U191" s="3">
        <v>0</v>
      </c>
      <c r="V191" s="3"/>
      <c r="W191" s="3">
        <v>0</v>
      </c>
      <c r="X191" s="3"/>
      <c r="Y191" s="3">
        <v>0</v>
      </c>
      <c r="Z191" s="3"/>
      <c r="AA191" s="3">
        <v>0</v>
      </c>
      <c r="AC191" s="9">
        <f t="shared" si="6"/>
        <v>0</v>
      </c>
    </row>
    <row r="192" spans="1:29" s="9" customFormat="1" ht="12">
      <c r="A192" s="9" t="s">
        <v>164</v>
      </c>
      <c r="C192" s="9" t="s">
        <v>165</v>
      </c>
      <c r="E192" s="9">
        <v>1364096</v>
      </c>
      <c r="G192" s="9">
        <v>0</v>
      </c>
      <c r="I192" s="9">
        <f>7594027-1364096-376969-1321911</f>
        <v>4531051</v>
      </c>
      <c r="K192" s="9">
        <v>1321911</v>
      </c>
      <c r="M192" s="9">
        <v>0</v>
      </c>
      <c r="O192" s="9">
        <v>0</v>
      </c>
      <c r="Q192" s="9">
        <v>376969</v>
      </c>
      <c r="S192" s="9">
        <v>0</v>
      </c>
      <c r="U192" s="9">
        <v>0</v>
      </c>
      <c r="W192" s="9">
        <v>5242234</v>
      </c>
      <c r="X192" s="3"/>
      <c r="Y192" s="3">
        <v>0</v>
      </c>
      <c r="Z192" s="3"/>
      <c r="AA192" s="3">
        <v>0</v>
      </c>
      <c r="AC192" s="9">
        <f t="shared" si="6"/>
        <v>12836261</v>
      </c>
    </row>
    <row r="193" spans="1:29" s="9" customFormat="1" ht="12" hidden="1">
      <c r="A193" s="9" t="s">
        <v>360</v>
      </c>
      <c r="C193" s="9" t="s">
        <v>70</v>
      </c>
      <c r="E193" s="9">
        <v>0</v>
      </c>
      <c r="G193" s="9">
        <v>0</v>
      </c>
      <c r="I193" s="9">
        <v>0</v>
      </c>
      <c r="K193" s="9">
        <v>0</v>
      </c>
      <c r="M193" s="9">
        <v>0</v>
      </c>
      <c r="O193" s="9">
        <v>0</v>
      </c>
      <c r="P193" s="3"/>
      <c r="Q193" s="3">
        <v>0</v>
      </c>
      <c r="R193" s="3"/>
      <c r="S193" s="3">
        <v>0</v>
      </c>
      <c r="T193" s="3"/>
      <c r="U193" s="3">
        <v>0</v>
      </c>
      <c r="V193" s="3"/>
      <c r="W193" s="3">
        <v>0</v>
      </c>
      <c r="X193" s="3"/>
      <c r="Y193" s="3">
        <v>0</v>
      </c>
      <c r="Z193" s="3"/>
      <c r="AA193" s="3">
        <v>0</v>
      </c>
      <c r="AC193" s="9">
        <f t="shared" si="6"/>
        <v>0</v>
      </c>
    </row>
    <row r="194" spans="1:29" s="9" customFormat="1" ht="12" hidden="1">
      <c r="A194" s="9" t="s">
        <v>268</v>
      </c>
      <c r="C194" s="9" t="s">
        <v>13</v>
      </c>
      <c r="E194" s="3">
        <v>0</v>
      </c>
      <c r="F194" s="3"/>
      <c r="G194" s="3">
        <v>0</v>
      </c>
      <c r="H194" s="3"/>
      <c r="I194" s="3">
        <v>0</v>
      </c>
      <c r="J194" s="3"/>
      <c r="K194" s="3">
        <v>0</v>
      </c>
      <c r="L194" s="3"/>
      <c r="M194" s="3">
        <v>0</v>
      </c>
      <c r="N194" s="3"/>
      <c r="O194" s="3">
        <v>0</v>
      </c>
      <c r="P194" s="3"/>
      <c r="Q194" s="3">
        <v>0</v>
      </c>
      <c r="R194" s="3"/>
      <c r="S194" s="3">
        <v>0</v>
      </c>
      <c r="T194" s="3"/>
      <c r="U194" s="3">
        <v>0</v>
      </c>
      <c r="V194" s="3"/>
      <c r="W194" s="3">
        <v>0</v>
      </c>
      <c r="X194" s="3"/>
      <c r="Y194" s="3">
        <v>0</v>
      </c>
      <c r="Z194" s="3"/>
      <c r="AA194" s="3">
        <v>0</v>
      </c>
      <c r="AC194" s="9">
        <f t="shared" si="6"/>
        <v>0</v>
      </c>
    </row>
    <row r="195" spans="1:54" s="9" customFormat="1" ht="12">
      <c r="A195" s="3" t="s">
        <v>166</v>
      </c>
      <c r="B195" s="3"/>
      <c r="C195" s="3" t="s">
        <v>84</v>
      </c>
      <c r="D195" s="3"/>
      <c r="E195" s="3">
        <v>517346.79</v>
      </c>
      <c r="F195" s="3"/>
      <c r="G195" s="3">
        <v>63974.12</v>
      </c>
      <c r="H195" s="3"/>
      <c r="I195" s="3">
        <v>117950.77</v>
      </c>
      <c r="J195" s="3"/>
      <c r="K195" s="3">
        <v>109909.88</v>
      </c>
      <c r="L195" s="3"/>
      <c r="M195" s="3">
        <v>57275.61</v>
      </c>
      <c r="N195" s="3"/>
      <c r="O195" s="3">
        <v>8511</v>
      </c>
      <c r="P195" s="3"/>
      <c r="Q195" s="3">
        <v>2017414.88</v>
      </c>
      <c r="R195" s="3"/>
      <c r="S195" s="3">
        <v>0</v>
      </c>
      <c r="T195" s="3"/>
      <c r="U195" s="3">
        <v>0</v>
      </c>
      <c r="V195" s="3"/>
      <c r="W195" s="3">
        <v>1176588.14</v>
      </c>
      <c r="X195" s="3"/>
      <c r="Y195" s="3">
        <v>0</v>
      </c>
      <c r="Z195" s="3"/>
      <c r="AA195" s="3">
        <v>3800.6</v>
      </c>
      <c r="AB195" s="3"/>
      <c r="AC195" s="3">
        <f t="shared" si="6"/>
        <v>4072771.7899999996</v>
      </c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</row>
    <row r="196" spans="1:29" s="9" customFormat="1" ht="12">
      <c r="A196" s="9" t="s">
        <v>167</v>
      </c>
      <c r="C196" s="9" t="s">
        <v>168</v>
      </c>
      <c r="E196" s="9">
        <v>789449</v>
      </c>
      <c r="G196" s="9">
        <v>261314</v>
      </c>
      <c r="I196" s="9">
        <v>208994</v>
      </c>
      <c r="K196" s="9">
        <v>309381</v>
      </c>
      <c r="M196" s="9">
        <v>43301</v>
      </c>
      <c r="O196" s="9">
        <v>3981</v>
      </c>
      <c r="Q196" s="9">
        <v>72683</v>
      </c>
      <c r="S196" s="9">
        <v>0</v>
      </c>
      <c r="U196" s="9">
        <v>0</v>
      </c>
      <c r="W196" s="9">
        <v>0</v>
      </c>
      <c r="Y196" s="9">
        <v>0</v>
      </c>
      <c r="AA196" s="9">
        <v>0</v>
      </c>
      <c r="AC196" s="9">
        <f t="shared" si="6"/>
        <v>1689103</v>
      </c>
    </row>
    <row r="197" spans="1:54" s="9" customFormat="1" ht="12">
      <c r="A197" s="3" t="s">
        <v>169</v>
      </c>
      <c r="B197" s="3"/>
      <c r="C197" s="3" t="s">
        <v>46</v>
      </c>
      <c r="D197" s="3"/>
      <c r="E197" s="3">
        <v>241342.24</v>
      </c>
      <c r="F197" s="3"/>
      <c r="G197" s="3">
        <v>57776.27</v>
      </c>
      <c r="H197" s="3"/>
      <c r="I197" s="3">
        <v>103329.23</v>
      </c>
      <c r="J197" s="3"/>
      <c r="K197" s="3">
        <v>40694.52</v>
      </c>
      <c r="L197" s="3"/>
      <c r="M197" s="3">
        <v>18886.66</v>
      </c>
      <c r="N197" s="3"/>
      <c r="O197" s="3">
        <v>4163.8</v>
      </c>
      <c r="P197" s="3"/>
      <c r="Q197" s="3">
        <v>4415.12</v>
      </c>
      <c r="R197" s="3"/>
      <c r="S197" s="3">
        <v>60739.47</v>
      </c>
      <c r="T197" s="3"/>
      <c r="U197" s="3">
        <v>51820.53</v>
      </c>
      <c r="V197" s="3"/>
      <c r="W197" s="3">
        <v>112560</v>
      </c>
      <c r="X197" s="3"/>
      <c r="Y197" s="3">
        <v>0</v>
      </c>
      <c r="Z197" s="3"/>
      <c r="AA197" s="3">
        <v>0</v>
      </c>
      <c r="AB197" s="3"/>
      <c r="AC197" s="3">
        <f t="shared" si="6"/>
        <v>695727.84</v>
      </c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</row>
    <row r="198" spans="1:29" s="9" customFormat="1" ht="12">
      <c r="A198" s="9" t="s">
        <v>170</v>
      </c>
      <c r="C198" s="9" t="s">
        <v>64</v>
      </c>
      <c r="E198" s="9">
        <v>33794</v>
      </c>
      <c r="G198" s="9">
        <v>4729</v>
      </c>
      <c r="I198" s="9">
        <v>21575</v>
      </c>
      <c r="K198" s="9">
        <v>15455</v>
      </c>
      <c r="M198" s="9">
        <v>2847</v>
      </c>
      <c r="O198" s="9">
        <v>0</v>
      </c>
      <c r="Q198" s="9">
        <v>14770</v>
      </c>
      <c r="S198" s="9">
        <v>0</v>
      </c>
      <c r="U198" s="9">
        <v>0</v>
      </c>
      <c r="W198" s="9">
        <v>0</v>
      </c>
      <c r="Y198" s="3">
        <v>0</v>
      </c>
      <c r="Z198" s="3"/>
      <c r="AA198" s="3">
        <v>0</v>
      </c>
      <c r="AC198" s="9">
        <f t="shared" si="6"/>
        <v>93170</v>
      </c>
    </row>
    <row r="199" spans="1:29" s="9" customFormat="1" ht="12">
      <c r="A199" s="9" t="s">
        <v>171</v>
      </c>
      <c r="C199" s="9" t="s">
        <v>172</v>
      </c>
      <c r="E199" s="9">
        <v>289670</v>
      </c>
      <c r="G199" s="9">
        <v>61480</v>
      </c>
      <c r="I199" s="9">
        <v>70984</v>
      </c>
      <c r="K199" s="9">
        <v>63411</v>
      </c>
      <c r="M199" s="9">
        <v>20210</v>
      </c>
      <c r="O199" s="9">
        <v>14882</v>
      </c>
      <c r="Q199" s="9">
        <v>2872</v>
      </c>
      <c r="S199" s="9">
        <v>0</v>
      </c>
      <c r="U199" s="9">
        <v>0</v>
      </c>
      <c r="W199" s="9">
        <v>30000</v>
      </c>
      <c r="Y199" s="9">
        <v>0</v>
      </c>
      <c r="AA199" s="9">
        <v>0</v>
      </c>
      <c r="AC199" s="9">
        <f t="shared" si="6"/>
        <v>553509</v>
      </c>
    </row>
    <row r="200" spans="1:29" s="9" customFormat="1" ht="12" hidden="1">
      <c r="A200" s="9" t="s">
        <v>271</v>
      </c>
      <c r="C200" s="9" t="s">
        <v>49</v>
      </c>
      <c r="E200" s="3">
        <v>0</v>
      </c>
      <c r="F200" s="3"/>
      <c r="G200" s="3">
        <v>0</v>
      </c>
      <c r="H200" s="3"/>
      <c r="I200" s="3">
        <v>0</v>
      </c>
      <c r="J200" s="3"/>
      <c r="K200" s="3">
        <v>0</v>
      </c>
      <c r="L200" s="3"/>
      <c r="M200" s="3">
        <v>0</v>
      </c>
      <c r="N200" s="3"/>
      <c r="O200" s="3">
        <v>0</v>
      </c>
      <c r="P200" s="3"/>
      <c r="Q200" s="3">
        <v>0</v>
      </c>
      <c r="R200" s="3"/>
      <c r="S200" s="3">
        <v>0</v>
      </c>
      <c r="T200" s="3"/>
      <c r="U200" s="3">
        <v>0</v>
      </c>
      <c r="V200" s="3"/>
      <c r="W200" s="3">
        <v>0</v>
      </c>
      <c r="X200" s="3"/>
      <c r="Y200" s="3">
        <v>0</v>
      </c>
      <c r="Z200" s="3"/>
      <c r="AA200" s="3">
        <v>0</v>
      </c>
      <c r="AC200" s="9">
        <f t="shared" si="6"/>
        <v>0</v>
      </c>
    </row>
    <row r="201" spans="1:29" s="9" customFormat="1" ht="12" hidden="1">
      <c r="A201" s="9" t="s">
        <v>272</v>
      </c>
      <c r="C201" s="9" t="s">
        <v>190</v>
      </c>
      <c r="E201" s="3">
        <v>0</v>
      </c>
      <c r="F201" s="3"/>
      <c r="G201" s="3">
        <v>0</v>
      </c>
      <c r="H201" s="3"/>
      <c r="I201" s="3">
        <v>0</v>
      </c>
      <c r="J201" s="3"/>
      <c r="K201" s="3">
        <v>0</v>
      </c>
      <c r="L201" s="3"/>
      <c r="M201" s="3">
        <v>0</v>
      </c>
      <c r="N201" s="3"/>
      <c r="O201" s="3">
        <v>0</v>
      </c>
      <c r="P201" s="3"/>
      <c r="Q201" s="3">
        <v>0</v>
      </c>
      <c r="R201" s="3"/>
      <c r="S201" s="3">
        <v>0</v>
      </c>
      <c r="T201" s="3"/>
      <c r="U201" s="3">
        <v>0</v>
      </c>
      <c r="V201" s="3"/>
      <c r="W201" s="3">
        <v>0</v>
      </c>
      <c r="X201" s="3"/>
      <c r="Y201" s="3">
        <v>0</v>
      </c>
      <c r="Z201" s="3"/>
      <c r="AA201" s="3">
        <v>0</v>
      </c>
      <c r="AC201" s="9">
        <f t="shared" si="6"/>
        <v>0</v>
      </c>
    </row>
    <row r="202" spans="1:54" s="9" customFormat="1" ht="12">
      <c r="A202" s="3" t="s">
        <v>351</v>
      </c>
      <c r="B202" s="3"/>
      <c r="C202" s="3" t="s">
        <v>46</v>
      </c>
      <c r="D202" s="3"/>
      <c r="E202" s="3">
        <v>203016.1</v>
      </c>
      <c r="F202" s="3"/>
      <c r="G202" s="3">
        <v>54836.31</v>
      </c>
      <c r="H202" s="3"/>
      <c r="I202" s="3">
        <v>72317.6</v>
      </c>
      <c r="J202" s="3"/>
      <c r="K202" s="3">
        <v>101889.11</v>
      </c>
      <c r="L202" s="3"/>
      <c r="M202" s="3">
        <v>8592.85</v>
      </c>
      <c r="N202" s="3"/>
      <c r="O202" s="3">
        <v>4564.5</v>
      </c>
      <c r="P202" s="3"/>
      <c r="Q202" s="3">
        <v>2555.59</v>
      </c>
      <c r="R202" s="3"/>
      <c r="S202" s="3">
        <v>0</v>
      </c>
      <c r="T202" s="3"/>
      <c r="U202" s="3">
        <v>0</v>
      </c>
      <c r="V202" s="3"/>
      <c r="W202" s="3">
        <v>0</v>
      </c>
      <c r="X202" s="3"/>
      <c r="Y202" s="3">
        <v>0</v>
      </c>
      <c r="Z202" s="3"/>
      <c r="AA202" s="3">
        <v>0</v>
      </c>
      <c r="AB202" s="3"/>
      <c r="AC202" s="3">
        <f t="shared" si="6"/>
        <v>447772.06</v>
      </c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</row>
    <row r="203" spans="1:29" s="9" customFormat="1" ht="12">
      <c r="A203" s="9" t="s">
        <v>174</v>
      </c>
      <c r="C203" s="9" t="s">
        <v>175</v>
      </c>
      <c r="E203" s="9">
        <v>239225</v>
      </c>
      <c r="G203" s="9">
        <v>70568</v>
      </c>
      <c r="I203" s="9">
        <v>58592</v>
      </c>
      <c r="K203" s="9">
        <v>54365</v>
      </c>
      <c r="M203" s="9">
        <v>22806</v>
      </c>
      <c r="O203" s="9">
        <v>3319</v>
      </c>
      <c r="Q203" s="9">
        <v>74995</v>
      </c>
      <c r="S203" s="9">
        <v>0</v>
      </c>
      <c r="U203" s="9">
        <v>0</v>
      </c>
      <c r="W203" s="9">
        <v>80000</v>
      </c>
      <c r="X203" s="3"/>
      <c r="Y203" s="3">
        <v>0</v>
      </c>
      <c r="Z203" s="3"/>
      <c r="AA203" s="3">
        <v>0</v>
      </c>
      <c r="AC203" s="9">
        <f t="shared" si="6"/>
        <v>603870</v>
      </c>
    </row>
    <row r="204" spans="1:29" s="9" customFormat="1" ht="12" hidden="1">
      <c r="A204" s="9" t="s">
        <v>362</v>
      </c>
      <c r="C204" s="9" t="s">
        <v>64</v>
      </c>
      <c r="E204" s="3">
        <v>0</v>
      </c>
      <c r="F204" s="3"/>
      <c r="G204" s="3">
        <v>0</v>
      </c>
      <c r="H204" s="3"/>
      <c r="I204" s="3">
        <v>0</v>
      </c>
      <c r="J204" s="3"/>
      <c r="K204" s="3">
        <v>0</v>
      </c>
      <c r="L204" s="3"/>
      <c r="M204" s="3">
        <v>0</v>
      </c>
      <c r="N204" s="3"/>
      <c r="O204" s="3">
        <v>0</v>
      </c>
      <c r="P204" s="3"/>
      <c r="Q204" s="3">
        <v>0</v>
      </c>
      <c r="R204" s="3"/>
      <c r="S204" s="3">
        <v>0</v>
      </c>
      <c r="T204" s="3"/>
      <c r="U204" s="3">
        <v>0</v>
      </c>
      <c r="V204" s="3"/>
      <c r="W204" s="3">
        <v>0</v>
      </c>
      <c r="X204" s="3"/>
      <c r="Y204" s="3">
        <v>0</v>
      </c>
      <c r="Z204" s="3"/>
      <c r="AA204" s="3">
        <v>0</v>
      </c>
      <c r="AC204" s="9">
        <f t="shared" si="6"/>
        <v>0</v>
      </c>
    </row>
    <row r="205" spans="1:29" s="9" customFormat="1" ht="12" hidden="1">
      <c r="A205" s="9" t="s">
        <v>276</v>
      </c>
      <c r="C205" s="9" t="s">
        <v>182</v>
      </c>
      <c r="E205" s="3">
        <v>0</v>
      </c>
      <c r="F205" s="3"/>
      <c r="G205" s="3">
        <v>0</v>
      </c>
      <c r="H205" s="3"/>
      <c r="I205" s="3">
        <v>0</v>
      </c>
      <c r="J205" s="3"/>
      <c r="K205" s="3">
        <v>0</v>
      </c>
      <c r="L205" s="3"/>
      <c r="M205" s="3">
        <v>0</v>
      </c>
      <c r="N205" s="3"/>
      <c r="O205" s="3">
        <v>0</v>
      </c>
      <c r="P205" s="3"/>
      <c r="Q205" s="3">
        <v>0</v>
      </c>
      <c r="R205" s="3"/>
      <c r="S205" s="3">
        <v>0</v>
      </c>
      <c r="T205" s="3"/>
      <c r="U205" s="3">
        <v>0</v>
      </c>
      <c r="V205" s="3"/>
      <c r="W205" s="3">
        <v>0</v>
      </c>
      <c r="X205" s="3"/>
      <c r="Y205" s="3">
        <v>0</v>
      </c>
      <c r="Z205" s="3"/>
      <c r="AA205" s="3">
        <v>0</v>
      </c>
      <c r="AC205" s="9">
        <f t="shared" si="6"/>
        <v>0</v>
      </c>
    </row>
    <row r="206" spans="1:29" s="9" customFormat="1" ht="12" hidden="1">
      <c r="A206" s="9" t="s">
        <v>277</v>
      </c>
      <c r="C206" s="9" t="s">
        <v>46</v>
      </c>
      <c r="E206" s="3">
        <v>0</v>
      </c>
      <c r="F206" s="3"/>
      <c r="G206" s="3">
        <v>0</v>
      </c>
      <c r="H206" s="3"/>
      <c r="I206" s="3">
        <v>0</v>
      </c>
      <c r="J206" s="3"/>
      <c r="K206" s="3">
        <v>0</v>
      </c>
      <c r="L206" s="3"/>
      <c r="M206" s="3">
        <v>0</v>
      </c>
      <c r="N206" s="3"/>
      <c r="O206" s="3">
        <v>0</v>
      </c>
      <c r="P206" s="3"/>
      <c r="Q206" s="3">
        <v>0</v>
      </c>
      <c r="R206" s="3"/>
      <c r="S206" s="3">
        <v>0</v>
      </c>
      <c r="T206" s="3"/>
      <c r="U206" s="3">
        <v>0</v>
      </c>
      <c r="V206" s="3"/>
      <c r="W206" s="3">
        <v>0</v>
      </c>
      <c r="X206" s="3"/>
      <c r="Y206" s="3">
        <v>0</v>
      </c>
      <c r="Z206" s="3"/>
      <c r="AA206" s="3">
        <v>0</v>
      </c>
      <c r="AC206" s="9">
        <f t="shared" si="6"/>
        <v>0</v>
      </c>
    </row>
    <row r="207" spans="1:29" s="9" customFormat="1" ht="12" hidden="1">
      <c r="A207" s="9" t="s">
        <v>394</v>
      </c>
      <c r="C207" s="9" t="s">
        <v>53</v>
      </c>
      <c r="E207" s="3">
        <v>0</v>
      </c>
      <c r="F207" s="3"/>
      <c r="G207" s="3">
        <v>0</v>
      </c>
      <c r="H207" s="3"/>
      <c r="I207" s="3">
        <v>0</v>
      </c>
      <c r="J207" s="3"/>
      <c r="K207" s="3">
        <v>0</v>
      </c>
      <c r="L207" s="3"/>
      <c r="M207" s="3">
        <v>0</v>
      </c>
      <c r="N207" s="3"/>
      <c r="O207" s="3">
        <v>0</v>
      </c>
      <c r="P207" s="3"/>
      <c r="Q207" s="3">
        <v>0</v>
      </c>
      <c r="R207" s="3"/>
      <c r="S207" s="3">
        <v>0</v>
      </c>
      <c r="T207" s="3"/>
      <c r="U207" s="3">
        <v>0</v>
      </c>
      <c r="V207" s="3"/>
      <c r="W207" s="3">
        <v>0</v>
      </c>
      <c r="X207" s="3"/>
      <c r="Y207" s="3">
        <v>0</v>
      </c>
      <c r="Z207" s="3"/>
      <c r="AA207" s="3">
        <v>0</v>
      </c>
      <c r="AC207" s="9">
        <f t="shared" si="6"/>
        <v>0</v>
      </c>
    </row>
    <row r="208" spans="1:54" s="9" customFormat="1" ht="12">
      <c r="A208" s="3" t="s">
        <v>525</v>
      </c>
      <c r="B208" s="3"/>
      <c r="C208" s="3" t="s">
        <v>60</v>
      </c>
      <c r="D208" s="3"/>
      <c r="E208" s="3">
        <v>232388.97</v>
      </c>
      <c r="F208" s="3"/>
      <c r="G208" s="3">
        <v>70972.12</v>
      </c>
      <c r="H208" s="3"/>
      <c r="I208" s="3">
        <v>68014.37</v>
      </c>
      <c r="J208" s="3"/>
      <c r="K208" s="3">
        <v>58177.15</v>
      </c>
      <c r="L208" s="3"/>
      <c r="M208" s="3">
        <v>7964.28</v>
      </c>
      <c r="N208" s="3"/>
      <c r="O208" s="3">
        <v>2623.76</v>
      </c>
      <c r="P208" s="3"/>
      <c r="Q208" s="3">
        <v>16305.25</v>
      </c>
      <c r="R208" s="3"/>
      <c r="S208" s="3">
        <v>0</v>
      </c>
      <c r="T208" s="3"/>
      <c r="U208" s="3">
        <v>0</v>
      </c>
      <c r="V208" s="3"/>
      <c r="W208" s="3">
        <v>13000</v>
      </c>
      <c r="X208" s="3"/>
      <c r="Y208" s="3">
        <v>0</v>
      </c>
      <c r="Z208" s="3"/>
      <c r="AA208" s="3">
        <v>0</v>
      </c>
      <c r="AB208" s="3"/>
      <c r="AC208" s="3">
        <f t="shared" si="6"/>
        <v>469445.9</v>
      </c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</row>
    <row r="209" spans="1:54" s="9" customFormat="1" ht="12">
      <c r="A209" s="3" t="s">
        <v>176</v>
      </c>
      <c r="B209" s="3"/>
      <c r="C209" s="3" t="s">
        <v>61</v>
      </c>
      <c r="D209" s="3"/>
      <c r="E209" s="3">
        <v>730928.81</v>
      </c>
      <c r="F209" s="3"/>
      <c r="G209" s="3">
        <v>187860.91</v>
      </c>
      <c r="H209" s="3"/>
      <c r="I209" s="3">
        <v>221471.95</v>
      </c>
      <c r="J209" s="3"/>
      <c r="K209" s="3">
        <v>219055.08</v>
      </c>
      <c r="L209" s="3"/>
      <c r="M209" s="3">
        <v>17630.76</v>
      </c>
      <c r="N209" s="3"/>
      <c r="O209" s="3">
        <v>10093.75</v>
      </c>
      <c r="P209" s="3"/>
      <c r="Q209" s="3">
        <v>405769.62</v>
      </c>
      <c r="R209" s="3"/>
      <c r="S209" s="3">
        <v>0</v>
      </c>
      <c r="T209" s="3"/>
      <c r="U209" s="3">
        <v>0</v>
      </c>
      <c r="V209" s="3"/>
      <c r="W209" s="3">
        <v>200376.08</v>
      </c>
      <c r="X209" s="3"/>
      <c r="Y209" s="3">
        <v>0</v>
      </c>
      <c r="Z209" s="3"/>
      <c r="AA209" s="3">
        <v>0</v>
      </c>
      <c r="AB209" s="3"/>
      <c r="AC209" s="3">
        <f t="shared" si="6"/>
        <v>1993186.9600000004</v>
      </c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</row>
    <row r="210" spans="1:54" s="9" customFormat="1" ht="12">
      <c r="A210" s="3" t="s">
        <v>352</v>
      </c>
      <c r="B210" s="3"/>
      <c r="C210" s="3" t="s">
        <v>178</v>
      </c>
      <c r="D210" s="3"/>
      <c r="E210" s="3">
        <v>699783.53</v>
      </c>
      <c r="F210" s="3"/>
      <c r="G210" s="3">
        <v>176476.9</v>
      </c>
      <c r="H210" s="3"/>
      <c r="I210" s="3">
        <v>245017.36</v>
      </c>
      <c r="J210" s="3"/>
      <c r="K210" s="3">
        <v>180781.84</v>
      </c>
      <c r="L210" s="3"/>
      <c r="M210" s="3">
        <v>40186.7</v>
      </c>
      <c r="N210" s="3"/>
      <c r="O210" s="3">
        <v>8785</v>
      </c>
      <c r="P210" s="3"/>
      <c r="Q210" s="3">
        <v>135710.19</v>
      </c>
      <c r="R210" s="3"/>
      <c r="S210" s="3">
        <v>0</v>
      </c>
      <c r="T210" s="3"/>
      <c r="U210" s="3">
        <v>0</v>
      </c>
      <c r="V210" s="3"/>
      <c r="W210" s="3">
        <v>50000</v>
      </c>
      <c r="X210" s="3"/>
      <c r="Y210" s="3">
        <v>0</v>
      </c>
      <c r="Z210" s="3"/>
      <c r="AA210" s="3">
        <v>0</v>
      </c>
      <c r="AB210" s="3"/>
      <c r="AC210" s="3">
        <f t="shared" si="6"/>
        <v>1536741.52</v>
      </c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</row>
    <row r="211" spans="1:29" s="9" customFormat="1" ht="12" hidden="1">
      <c r="A211" s="9" t="s">
        <v>282</v>
      </c>
      <c r="C211" s="9" t="s">
        <v>72</v>
      </c>
      <c r="E211" s="3">
        <v>0</v>
      </c>
      <c r="F211" s="3"/>
      <c r="G211" s="3">
        <v>0</v>
      </c>
      <c r="H211" s="3"/>
      <c r="I211" s="3">
        <v>0</v>
      </c>
      <c r="J211" s="3"/>
      <c r="K211" s="3">
        <v>0</v>
      </c>
      <c r="L211" s="3"/>
      <c r="M211" s="3">
        <v>0</v>
      </c>
      <c r="N211" s="3"/>
      <c r="O211" s="3">
        <v>0</v>
      </c>
      <c r="P211" s="3"/>
      <c r="Q211" s="3">
        <v>0</v>
      </c>
      <c r="R211" s="3"/>
      <c r="S211" s="3">
        <v>0</v>
      </c>
      <c r="T211" s="3"/>
      <c r="U211" s="3">
        <v>0</v>
      </c>
      <c r="V211" s="3"/>
      <c r="W211" s="3">
        <v>0</v>
      </c>
      <c r="X211" s="3"/>
      <c r="Y211" s="3">
        <v>0</v>
      </c>
      <c r="Z211" s="3"/>
      <c r="AA211" s="3">
        <v>0</v>
      </c>
      <c r="AC211" s="9">
        <f t="shared" si="6"/>
        <v>0</v>
      </c>
    </row>
    <row r="212" spans="1:29" s="9" customFormat="1" ht="12" hidden="1">
      <c r="A212" s="9" t="s">
        <v>398</v>
      </c>
      <c r="C212" s="9" t="s">
        <v>65</v>
      </c>
      <c r="E212" s="3">
        <v>0</v>
      </c>
      <c r="F212" s="3"/>
      <c r="G212" s="3">
        <v>0</v>
      </c>
      <c r="H212" s="3"/>
      <c r="I212" s="3">
        <v>0</v>
      </c>
      <c r="J212" s="3"/>
      <c r="K212" s="3">
        <v>0</v>
      </c>
      <c r="L212" s="3"/>
      <c r="M212" s="3">
        <v>0</v>
      </c>
      <c r="N212" s="3"/>
      <c r="O212" s="3">
        <v>0</v>
      </c>
      <c r="P212" s="3"/>
      <c r="Q212" s="3">
        <v>0</v>
      </c>
      <c r="R212" s="3"/>
      <c r="S212" s="3">
        <v>0</v>
      </c>
      <c r="T212" s="3"/>
      <c r="U212" s="3">
        <v>0</v>
      </c>
      <c r="V212" s="3"/>
      <c r="W212" s="3">
        <v>0</v>
      </c>
      <c r="X212" s="3"/>
      <c r="Y212" s="3">
        <v>0</v>
      </c>
      <c r="Z212" s="3"/>
      <c r="AA212" s="3">
        <v>0</v>
      </c>
      <c r="AC212" s="9">
        <f t="shared" si="6"/>
        <v>0</v>
      </c>
    </row>
    <row r="213" spans="1:54" s="9" customFormat="1" ht="12">
      <c r="A213" s="3" t="s">
        <v>353</v>
      </c>
      <c r="B213" s="3"/>
      <c r="C213" s="3" t="s">
        <v>44</v>
      </c>
      <c r="D213" s="3"/>
      <c r="E213" s="3">
        <v>126129.7</v>
      </c>
      <c r="F213" s="3"/>
      <c r="G213" s="3">
        <v>28857.28</v>
      </c>
      <c r="H213" s="3"/>
      <c r="I213" s="3">
        <v>33342.76</v>
      </c>
      <c r="J213" s="3"/>
      <c r="K213" s="3">
        <v>35205.27</v>
      </c>
      <c r="L213" s="3"/>
      <c r="M213" s="3">
        <v>5048.14</v>
      </c>
      <c r="N213" s="3"/>
      <c r="O213" s="3">
        <v>845</v>
      </c>
      <c r="P213" s="3"/>
      <c r="Q213" s="3">
        <v>19070</v>
      </c>
      <c r="R213" s="3"/>
      <c r="S213" s="3">
        <v>0</v>
      </c>
      <c r="T213" s="3"/>
      <c r="U213" s="3">
        <v>0</v>
      </c>
      <c r="V213" s="3"/>
      <c r="W213" s="3">
        <v>15000</v>
      </c>
      <c r="X213" s="3"/>
      <c r="Y213" s="3">
        <v>0</v>
      </c>
      <c r="Z213" s="3"/>
      <c r="AA213" s="3">
        <v>0</v>
      </c>
      <c r="AB213" s="3"/>
      <c r="AC213" s="3">
        <f aca="true" t="shared" si="7" ref="AC213:AC244">SUM(E213:AA213)</f>
        <v>263498.15</v>
      </c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</row>
    <row r="214" spans="1:29" s="9" customFormat="1" ht="12" hidden="1">
      <c r="A214" s="9" t="s">
        <v>285</v>
      </c>
      <c r="C214" s="9" t="s">
        <v>57</v>
      </c>
      <c r="E214" s="3">
        <v>0</v>
      </c>
      <c r="F214" s="3"/>
      <c r="G214" s="3">
        <v>0</v>
      </c>
      <c r="H214" s="3"/>
      <c r="I214" s="3">
        <v>0</v>
      </c>
      <c r="J214" s="3"/>
      <c r="K214" s="3">
        <v>0</v>
      </c>
      <c r="L214" s="3"/>
      <c r="M214" s="3">
        <v>0</v>
      </c>
      <c r="N214" s="3"/>
      <c r="O214" s="3">
        <v>0</v>
      </c>
      <c r="P214" s="3"/>
      <c r="Q214" s="3">
        <v>0</v>
      </c>
      <c r="R214" s="3"/>
      <c r="S214" s="3">
        <v>0</v>
      </c>
      <c r="T214" s="3"/>
      <c r="U214" s="3">
        <v>0</v>
      </c>
      <c r="V214" s="3"/>
      <c r="W214" s="3">
        <v>0</v>
      </c>
      <c r="X214" s="3"/>
      <c r="Y214" s="3">
        <v>0</v>
      </c>
      <c r="Z214" s="3"/>
      <c r="AA214" s="3">
        <v>0</v>
      </c>
      <c r="AC214" s="9">
        <f t="shared" si="7"/>
        <v>0</v>
      </c>
    </row>
    <row r="215" spans="1:54" s="9" customFormat="1" ht="12">
      <c r="A215" s="3" t="s">
        <v>526</v>
      </c>
      <c r="B215" s="3"/>
      <c r="C215" s="3" t="s">
        <v>59</v>
      </c>
      <c r="D215" s="3"/>
      <c r="E215" s="3">
        <v>487051.82</v>
      </c>
      <c r="F215" s="3"/>
      <c r="G215" s="3">
        <v>170444.33</v>
      </c>
      <c r="H215" s="3"/>
      <c r="I215" s="3">
        <v>93367.57</v>
      </c>
      <c r="J215" s="3"/>
      <c r="K215" s="3">
        <v>138169.42</v>
      </c>
      <c r="L215" s="3"/>
      <c r="M215" s="3">
        <v>32100.22</v>
      </c>
      <c r="N215" s="3"/>
      <c r="O215" s="3">
        <v>2218.9</v>
      </c>
      <c r="P215" s="3"/>
      <c r="Q215" s="3">
        <v>32360.38</v>
      </c>
      <c r="R215" s="3"/>
      <c r="S215" s="3">
        <v>0</v>
      </c>
      <c r="T215" s="3"/>
      <c r="U215" s="3">
        <v>0</v>
      </c>
      <c r="V215" s="3"/>
      <c r="W215" s="3">
        <v>0</v>
      </c>
      <c r="X215" s="3"/>
      <c r="Y215" s="3">
        <v>0</v>
      </c>
      <c r="Z215" s="3"/>
      <c r="AA215" s="3">
        <v>0</v>
      </c>
      <c r="AB215" s="3"/>
      <c r="AC215" s="3">
        <f t="shared" si="7"/>
        <v>955712.64</v>
      </c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</row>
    <row r="216" spans="1:29" s="9" customFormat="1" ht="12" hidden="1">
      <c r="A216" s="9" t="s">
        <v>286</v>
      </c>
      <c r="C216" s="9" t="s">
        <v>71</v>
      </c>
      <c r="E216" s="3">
        <v>0</v>
      </c>
      <c r="F216" s="3"/>
      <c r="G216" s="3">
        <v>0</v>
      </c>
      <c r="H216" s="3"/>
      <c r="I216" s="3">
        <v>0</v>
      </c>
      <c r="J216" s="3"/>
      <c r="K216" s="3">
        <v>0</v>
      </c>
      <c r="L216" s="3"/>
      <c r="M216" s="3">
        <v>0</v>
      </c>
      <c r="N216" s="3"/>
      <c r="O216" s="3">
        <v>0</v>
      </c>
      <c r="P216" s="3"/>
      <c r="Q216" s="3">
        <v>0</v>
      </c>
      <c r="R216" s="3"/>
      <c r="S216" s="3">
        <v>0</v>
      </c>
      <c r="T216" s="3"/>
      <c r="U216" s="3">
        <v>0</v>
      </c>
      <c r="V216" s="3"/>
      <c r="W216" s="3">
        <v>0</v>
      </c>
      <c r="X216" s="3"/>
      <c r="Y216" s="3">
        <v>0</v>
      </c>
      <c r="Z216" s="3"/>
      <c r="AA216" s="3">
        <v>0</v>
      </c>
      <c r="AC216" s="9">
        <f t="shared" si="7"/>
        <v>0</v>
      </c>
    </row>
    <row r="217" spans="1:29" s="9" customFormat="1" ht="12" hidden="1">
      <c r="A217" s="9" t="s">
        <v>287</v>
      </c>
      <c r="C217" s="9" t="s">
        <v>48</v>
      </c>
      <c r="E217" s="3">
        <v>0</v>
      </c>
      <c r="F217" s="3"/>
      <c r="G217" s="3">
        <v>0</v>
      </c>
      <c r="H217" s="3"/>
      <c r="I217" s="3">
        <v>0</v>
      </c>
      <c r="J217" s="3"/>
      <c r="K217" s="3">
        <v>0</v>
      </c>
      <c r="L217" s="3"/>
      <c r="M217" s="3">
        <v>0</v>
      </c>
      <c r="N217" s="3"/>
      <c r="O217" s="3">
        <v>0</v>
      </c>
      <c r="P217" s="3"/>
      <c r="Q217" s="3">
        <v>0</v>
      </c>
      <c r="R217" s="3"/>
      <c r="S217" s="3">
        <v>0</v>
      </c>
      <c r="T217" s="3"/>
      <c r="U217" s="3">
        <v>0</v>
      </c>
      <c r="V217" s="3"/>
      <c r="W217" s="3">
        <v>0</v>
      </c>
      <c r="X217" s="3"/>
      <c r="Y217" s="3">
        <v>0</v>
      </c>
      <c r="Z217" s="3"/>
      <c r="AA217" s="3">
        <v>0</v>
      </c>
      <c r="AC217" s="9">
        <f t="shared" si="7"/>
        <v>0</v>
      </c>
    </row>
    <row r="218" spans="1:29" s="9" customFormat="1" ht="12">
      <c r="A218" s="9" t="s">
        <v>386</v>
      </c>
      <c r="C218" s="9" t="s">
        <v>23</v>
      </c>
      <c r="E218" s="9">
        <v>1080649</v>
      </c>
      <c r="G218" s="9">
        <v>273964</v>
      </c>
      <c r="I218" s="9">
        <v>384138</v>
      </c>
      <c r="K218" s="9">
        <v>286028</v>
      </c>
      <c r="M218" s="9">
        <v>42719</v>
      </c>
      <c r="O218" s="9">
        <v>80534</v>
      </c>
      <c r="Q218" s="9">
        <v>2483</v>
      </c>
      <c r="S218" s="9">
        <v>0</v>
      </c>
      <c r="U218" s="9">
        <v>0</v>
      </c>
      <c r="W218" s="9">
        <v>90186</v>
      </c>
      <c r="X218" s="3"/>
      <c r="Y218" s="3">
        <v>0</v>
      </c>
      <c r="Z218" s="3"/>
      <c r="AA218" s="3">
        <v>0</v>
      </c>
      <c r="AC218" s="9">
        <f t="shared" si="7"/>
        <v>2240701</v>
      </c>
    </row>
    <row r="219" spans="1:29" s="9" customFormat="1" ht="12" hidden="1">
      <c r="A219" s="9" t="s">
        <v>289</v>
      </c>
      <c r="C219" s="9" t="s">
        <v>113</v>
      </c>
      <c r="E219" s="3">
        <v>0</v>
      </c>
      <c r="F219" s="3"/>
      <c r="G219" s="3">
        <v>0</v>
      </c>
      <c r="H219" s="3"/>
      <c r="I219" s="3">
        <v>0</v>
      </c>
      <c r="J219" s="3"/>
      <c r="K219" s="3">
        <v>0</v>
      </c>
      <c r="L219" s="3"/>
      <c r="M219" s="3">
        <v>0</v>
      </c>
      <c r="N219" s="3"/>
      <c r="O219" s="3">
        <v>0</v>
      </c>
      <c r="P219" s="3"/>
      <c r="Q219" s="3">
        <v>0</v>
      </c>
      <c r="R219" s="3"/>
      <c r="S219" s="3">
        <v>0</v>
      </c>
      <c r="T219" s="3"/>
      <c r="U219" s="3">
        <v>0</v>
      </c>
      <c r="V219" s="3"/>
      <c r="W219" s="3">
        <v>0</v>
      </c>
      <c r="X219" s="3"/>
      <c r="Y219" s="3">
        <v>0</v>
      </c>
      <c r="Z219" s="3"/>
      <c r="AA219" s="3">
        <v>0</v>
      </c>
      <c r="AC219" s="9">
        <f t="shared" si="7"/>
        <v>0</v>
      </c>
    </row>
    <row r="220" spans="1:29" s="9" customFormat="1" ht="12">
      <c r="A220" s="9" t="s">
        <v>181</v>
      </c>
      <c r="C220" s="9" t="s">
        <v>182</v>
      </c>
      <c r="E220" s="9">
        <v>393447</v>
      </c>
      <c r="G220" s="9">
        <v>109802</v>
      </c>
      <c r="I220" s="9">
        <v>184003</v>
      </c>
      <c r="K220" s="9">
        <v>60043</v>
      </c>
      <c r="M220" s="9">
        <v>20237</v>
      </c>
      <c r="O220" s="9">
        <v>1512</v>
      </c>
      <c r="Q220" s="9">
        <v>13436</v>
      </c>
      <c r="S220" s="9">
        <v>0</v>
      </c>
      <c r="U220" s="9">
        <v>0</v>
      </c>
      <c r="W220" s="3">
        <v>0</v>
      </c>
      <c r="X220" s="3"/>
      <c r="Y220" s="3">
        <v>0</v>
      </c>
      <c r="Z220" s="3"/>
      <c r="AA220" s="3">
        <v>0</v>
      </c>
      <c r="AC220" s="9">
        <f t="shared" si="7"/>
        <v>782480</v>
      </c>
    </row>
    <row r="221" spans="1:54" s="9" customFormat="1" ht="12">
      <c r="A221" s="3" t="s">
        <v>527</v>
      </c>
      <c r="B221" s="3"/>
      <c r="C221" s="3" t="s">
        <v>13</v>
      </c>
      <c r="D221" s="3"/>
      <c r="E221" s="3">
        <v>213299.52</v>
      </c>
      <c r="F221" s="3"/>
      <c r="G221" s="3">
        <v>33624.8</v>
      </c>
      <c r="H221" s="3"/>
      <c r="I221" s="3">
        <v>51444.35</v>
      </c>
      <c r="J221" s="3"/>
      <c r="K221" s="3">
        <v>80099.42</v>
      </c>
      <c r="L221" s="3"/>
      <c r="M221" s="3">
        <v>8213.22</v>
      </c>
      <c r="N221" s="3"/>
      <c r="O221" s="3">
        <v>3471.15</v>
      </c>
      <c r="P221" s="3"/>
      <c r="Q221" s="3">
        <v>4956.26</v>
      </c>
      <c r="R221" s="3"/>
      <c r="S221" s="3">
        <v>25000</v>
      </c>
      <c r="T221" s="3"/>
      <c r="U221" s="3">
        <v>55161.25</v>
      </c>
      <c r="V221" s="3"/>
      <c r="W221" s="3">
        <v>0</v>
      </c>
      <c r="X221" s="3"/>
      <c r="Y221" s="3">
        <v>0</v>
      </c>
      <c r="Z221" s="3"/>
      <c r="AA221" s="3">
        <v>193.72</v>
      </c>
      <c r="AB221" s="3"/>
      <c r="AC221" s="3">
        <f t="shared" si="7"/>
        <v>475463.68999999994</v>
      </c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</row>
    <row r="222" spans="1:29" s="9" customFormat="1" ht="12" hidden="1">
      <c r="A222" s="9" t="s">
        <v>395</v>
      </c>
      <c r="C222" s="9" t="s">
        <v>47</v>
      </c>
      <c r="E222" s="3">
        <v>0</v>
      </c>
      <c r="F222" s="3"/>
      <c r="G222" s="3">
        <v>0</v>
      </c>
      <c r="H222" s="3"/>
      <c r="I222" s="3">
        <v>0</v>
      </c>
      <c r="J222" s="3"/>
      <c r="K222" s="3">
        <v>0</v>
      </c>
      <c r="L222" s="3"/>
      <c r="M222" s="3">
        <v>0</v>
      </c>
      <c r="N222" s="3"/>
      <c r="O222" s="3">
        <v>0</v>
      </c>
      <c r="P222" s="3"/>
      <c r="Q222" s="3">
        <v>0</v>
      </c>
      <c r="R222" s="3"/>
      <c r="S222" s="3">
        <v>0</v>
      </c>
      <c r="T222" s="3"/>
      <c r="U222" s="3">
        <v>0</v>
      </c>
      <c r="V222" s="3"/>
      <c r="W222" s="3">
        <v>0</v>
      </c>
      <c r="X222" s="3"/>
      <c r="Y222" s="3">
        <v>0</v>
      </c>
      <c r="Z222" s="3"/>
      <c r="AA222" s="3">
        <v>0</v>
      </c>
      <c r="AC222" s="9">
        <f t="shared" si="7"/>
        <v>0</v>
      </c>
    </row>
    <row r="223" spans="1:29" s="9" customFormat="1" ht="12" hidden="1">
      <c r="A223" s="9" t="s">
        <v>364</v>
      </c>
      <c r="C223" s="9" t="s">
        <v>14</v>
      </c>
      <c r="E223" s="3">
        <v>0</v>
      </c>
      <c r="F223" s="3"/>
      <c r="G223" s="3">
        <v>0</v>
      </c>
      <c r="H223" s="3"/>
      <c r="I223" s="3">
        <v>0</v>
      </c>
      <c r="J223" s="3"/>
      <c r="K223" s="3">
        <v>0</v>
      </c>
      <c r="L223" s="3"/>
      <c r="M223" s="3">
        <v>0</v>
      </c>
      <c r="N223" s="3"/>
      <c r="O223" s="3">
        <v>0</v>
      </c>
      <c r="P223" s="3"/>
      <c r="Q223" s="3">
        <v>0</v>
      </c>
      <c r="R223" s="3"/>
      <c r="S223" s="3">
        <v>0</v>
      </c>
      <c r="T223" s="3"/>
      <c r="U223" s="3">
        <v>0</v>
      </c>
      <c r="V223" s="3"/>
      <c r="W223" s="3">
        <v>0</v>
      </c>
      <c r="X223" s="3"/>
      <c r="Y223" s="3">
        <v>0</v>
      </c>
      <c r="Z223" s="3"/>
      <c r="AA223" s="3">
        <v>0</v>
      </c>
      <c r="AC223" s="9">
        <f t="shared" si="7"/>
        <v>0</v>
      </c>
    </row>
    <row r="224" spans="1:29" s="9" customFormat="1" ht="12">
      <c r="A224" s="9" t="s">
        <v>183</v>
      </c>
      <c r="C224" s="9" t="s">
        <v>172</v>
      </c>
      <c r="E224" s="9">
        <v>415605</v>
      </c>
      <c r="G224" s="9">
        <v>92353</v>
      </c>
      <c r="I224" s="9">
        <v>103981</v>
      </c>
      <c r="K224" s="9">
        <v>146294</v>
      </c>
      <c r="M224" s="9">
        <v>13283</v>
      </c>
      <c r="O224" s="9">
        <v>4383</v>
      </c>
      <c r="Q224" s="9">
        <v>148824</v>
      </c>
      <c r="R224" s="3"/>
      <c r="S224" s="3">
        <v>0</v>
      </c>
      <c r="T224" s="3"/>
      <c r="U224" s="3">
        <v>0</v>
      </c>
      <c r="V224" s="3"/>
      <c r="W224" s="3">
        <v>0</v>
      </c>
      <c r="X224" s="3"/>
      <c r="Y224" s="3">
        <v>0</v>
      </c>
      <c r="Z224" s="3"/>
      <c r="AA224" s="3">
        <v>0</v>
      </c>
      <c r="AC224" s="9">
        <f t="shared" si="7"/>
        <v>924723</v>
      </c>
    </row>
    <row r="225" spans="1:29" s="3" customFormat="1" ht="12">
      <c r="A225" s="3" t="s">
        <v>389</v>
      </c>
      <c r="C225" s="3" t="s">
        <v>56</v>
      </c>
      <c r="E225" s="3">
        <v>139550.75</v>
      </c>
      <c r="G225" s="3">
        <v>21182.32</v>
      </c>
      <c r="I225" s="3">
        <v>46293.86</v>
      </c>
      <c r="K225" s="3">
        <v>43275.27</v>
      </c>
      <c r="M225" s="3">
        <v>3668.15</v>
      </c>
      <c r="O225" s="3">
        <v>862</v>
      </c>
      <c r="Q225" s="3">
        <v>8920.7</v>
      </c>
      <c r="S225" s="3">
        <v>0</v>
      </c>
      <c r="U225" s="3">
        <v>0</v>
      </c>
      <c r="W225" s="3">
        <v>0</v>
      </c>
      <c r="Y225" s="3">
        <v>0</v>
      </c>
      <c r="AA225" s="3">
        <v>0</v>
      </c>
      <c r="AC225" s="3">
        <f t="shared" si="7"/>
        <v>263753.05</v>
      </c>
    </row>
    <row r="226" spans="1:29" s="3" customFormat="1" ht="12">
      <c r="A226" s="3" t="s">
        <v>185</v>
      </c>
      <c r="C226" s="3" t="s">
        <v>186</v>
      </c>
      <c r="E226" s="3">
        <v>236964.74</v>
      </c>
      <c r="G226" s="3">
        <v>114928.8</v>
      </c>
      <c r="I226" s="3">
        <v>50920.43</v>
      </c>
      <c r="K226" s="3">
        <v>67117.26</v>
      </c>
      <c r="M226" s="3">
        <v>19155.14</v>
      </c>
      <c r="O226" s="3">
        <v>1300.2</v>
      </c>
      <c r="Q226" s="3">
        <v>13909.7</v>
      </c>
      <c r="S226" s="3">
        <v>0</v>
      </c>
      <c r="U226" s="3">
        <v>0</v>
      </c>
      <c r="W226" s="3">
        <v>0</v>
      </c>
      <c r="Y226" s="3">
        <v>0</v>
      </c>
      <c r="AA226" s="3">
        <v>0</v>
      </c>
      <c r="AC226" s="3">
        <f t="shared" si="7"/>
        <v>504296.27</v>
      </c>
    </row>
    <row r="227" spans="1:29" s="3" customFormat="1" ht="12" hidden="1">
      <c r="A227" s="3" t="s">
        <v>297</v>
      </c>
      <c r="C227" s="3" t="s">
        <v>45</v>
      </c>
      <c r="E227" s="3">
        <v>0</v>
      </c>
      <c r="G227" s="3">
        <v>0</v>
      </c>
      <c r="I227" s="3">
        <v>0</v>
      </c>
      <c r="K227" s="3">
        <v>0</v>
      </c>
      <c r="M227" s="3">
        <v>0</v>
      </c>
      <c r="O227" s="3">
        <v>0</v>
      </c>
      <c r="Q227" s="3">
        <v>0</v>
      </c>
      <c r="S227" s="3">
        <v>0</v>
      </c>
      <c r="U227" s="3">
        <v>0</v>
      </c>
      <c r="W227" s="3">
        <v>0</v>
      </c>
      <c r="Y227" s="3">
        <v>0</v>
      </c>
      <c r="AA227" s="3">
        <v>0</v>
      </c>
      <c r="AC227" s="3">
        <f t="shared" si="7"/>
        <v>0</v>
      </c>
    </row>
    <row r="228" spans="1:29" s="3" customFormat="1" ht="12" hidden="1">
      <c r="A228" s="3" t="s">
        <v>365</v>
      </c>
      <c r="C228" s="3" t="s">
        <v>186</v>
      </c>
      <c r="E228" s="3">
        <v>0</v>
      </c>
      <c r="G228" s="3">
        <v>0</v>
      </c>
      <c r="I228" s="3">
        <v>0</v>
      </c>
      <c r="K228" s="3">
        <v>0</v>
      </c>
      <c r="M228" s="3">
        <v>0</v>
      </c>
      <c r="O228" s="3">
        <v>0</v>
      </c>
      <c r="Q228" s="3">
        <v>0</v>
      </c>
      <c r="S228" s="3">
        <v>0</v>
      </c>
      <c r="U228" s="3">
        <v>0</v>
      </c>
      <c r="W228" s="3">
        <v>0</v>
      </c>
      <c r="Y228" s="3">
        <v>0</v>
      </c>
      <c r="AA228" s="3">
        <v>0</v>
      </c>
      <c r="AC228" s="3">
        <f t="shared" si="7"/>
        <v>0</v>
      </c>
    </row>
    <row r="229" spans="1:29" s="3" customFormat="1" ht="12">
      <c r="A229" s="3" t="s">
        <v>187</v>
      </c>
      <c r="C229" s="3" t="s">
        <v>62</v>
      </c>
      <c r="E229" s="3">
        <v>277014.28</v>
      </c>
      <c r="G229" s="3">
        <v>82170.19</v>
      </c>
      <c r="I229" s="3">
        <v>99370.33</v>
      </c>
      <c r="K229" s="3">
        <v>96620.06</v>
      </c>
      <c r="M229" s="3">
        <v>25732.54</v>
      </c>
      <c r="O229" s="3">
        <v>9275.91</v>
      </c>
      <c r="Q229" s="3">
        <v>24358.2</v>
      </c>
      <c r="S229" s="3">
        <v>0</v>
      </c>
      <c r="U229" s="3">
        <v>0</v>
      </c>
      <c r="W229" s="3">
        <v>0</v>
      </c>
      <c r="Y229" s="3">
        <v>0</v>
      </c>
      <c r="AA229" s="3">
        <v>0</v>
      </c>
      <c r="AC229" s="3">
        <f t="shared" si="7"/>
        <v>614541.5100000001</v>
      </c>
    </row>
    <row r="230" spans="1:54" s="3" customFormat="1" ht="12">
      <c r="A230" s="9" t="s">
        <v>188</v>
      </c>
      <c r="B230" s="9"/>
      <c r="C230" s="9" t="s">
        <v>48</v>
      </c>
      <c r="D230" s="9"/>
      <c r="E230" s="9">
        <v>443915</v>
      </c>
      <c r="F230" s="9"/>
      <c r="G230" s="9">
        <f>63900+63094+100</f>
        <v>127094</v>
      </c>
      <c r="H230" s="9"/>
      <c r="I230" s="9">
        <f>2006+7585+4372+9175+194+27577+5482+7018+12040</f>
        <v>75449</v>
      </c>
      <c r="J230" s="9"/>
      <c r="K230" s="9">
        <f>79290+10999+20483+29339+104+1213</f>
        <v>141428</v>
      </c>
      <c r="L230" s="9"/>
      <c r="M230" s="9">
        <f>1898+24+13431+8788</f>
        <v>24141</v>
      </c>
      <c r="N230" s="9"/>
      <c r="O230" s="9">
        <f>6573+379</f>
        <v>6952</v>
      </c>
      <c r="P230" s="9"/>
      <c r="Q230" s="9">
        <f>15153+2829</f>
        <v>17982</v>
      </c>
      <c r="R230" s="9"/>
      <c r="S230" s="9">
        <v>0</v>
      </c>
      <c r="T230" s="9"/>
      <c r="U230" s="9">
        <v>0</v>
      </c>
      <c r="V230" s="9"/>
      <c r="W230" s="9">
        <v>0</v>
      </c>
      <c r="X230" s="9"/>
      <c r="Y230" s="9">
        <v>0</v>
      </c>
      <c r="Z230" s="9"/>
      <c r="AA230" s="9">
        <v>0</v>
      </c>
      <c r="AB230" s="9"/>
      <c r="AC230" s="9">
        <f t="shared" si="7"/>
        <v>836961</v>
      </c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</row>
    <row r="231" spans="1:29" s="3" customFormat="1" ht="12">
      <c r="A231" s="3" t="s">
        <v>189</v>
      </c>
      <c r="C231" s="3" t="s">
        <v>190</v>
      </c>
      <c r="E231" s="3">
        <v>785673.98</v>
      </c>
      <c r="G231" s="3">
        <v>170837.49</v>
      </c>
      <c r="I231" s="3">
        <v>346739.68</v>
      </c>
      <c r="K231" s="3">
        <v>304470.97</v>
      </c>
      <c r="M231" s="3">
        <v>65354.85</v>
      </c>
      <c r="O231" s="3">
        <v>27131.74</v>
      </c>
      <c r="Q231" s="3">
        <v>268828.04</v>
      </c>
      <c r="S231" s="3">
        <v>0</v>
      </c>
      <c r="U231" s="3">
        <v>0</v>
      </c>
      <c r="W231" s="3">
        <v>10000</v>
      </c>
      <c r="Y231" s="3">
        <v>0</v>
      </c>
      <c r="AA231" s="3">
        <v>0</v>
      </c>
      <c r="AC231" s="3">
        <f t="shared" si="7"/>
        <v>1979036.75</v>
      </c>
    </row>
    <row r="232" spans="1:29" s="3" customFormat="1" ht="12">
      <c r="A232" s="3" t="s">
        <v>191</v>
      </c>
      <c r="C232" s="3" t="s">
        <v>46</v>
      </c>
      <c r="E232" s="3">
        <v>208844.92</v>
      </c>
      <c r="G232" s="3">
        <v>32207.51</v>
      </c>
      <c r="I232" s="3">
        <v>65176.41</v>
      </c>
      <c r="K232" s="3">
        <v>61745.87</v>
      </c>
      <c r="M232" s="3">
        <v>21440.8</v>
      </c>
      <c r="O232" s="3">
        <v>3568.62</v>
      </c>
      <c r="Q232" s="3">
        <v>28635.05</v>
      </c>
      <c r="S232" s="3">
        <v>0</v>
      </c>
      <c r="U232" s="3">
        <v>0</v>
      </c>
      <c r="W232" s="3">
        <v>0</v>
      </c>
      <c r="Y232" s="3">
        <v>0</v>
      </c>
      <c r="AA232" s="3">
        <v>0</v>
      </c>
      <c r="AC232" s="3">
        <f t="shared" si="7"/>
        <v>421619.18</v>
      </c>
    </row>
    <row r="233" spans="1:29" s="3" customFormat="1" ht="12">
      <c r="A233" s="3" t="s">
        <v>192</v>
      </c>
      <c r="C233" s="3" t="s">
        <v>59</v>
      </c>
      <c r="E233" s="3">
        <v>300820.72</v>
      </c>
      <c r="G233" s="3">
        <v>87101.18</v>
      </c>
      <c r="I233" s="3">
        <v>70465.58</v>
      </c>
      <c r="K233" s="3">
        <v>92126.66</v>
      </c>
      <c r="M233" s="3">
        <v>20692.71</v>
      </c>
      <c r="O233" s="3">
        <v>6063</v>
      </c>
      <c r="Q233" s="3">
        <v>23805.97</v>
      </c>
      <c r="S233" s="3">
        <v>0</v>
      </c>
      <c r="U233" s="3">
        <v>0</v>
      </c>
      <c r="W233" s="3">
        <v>0</v>
      </c>
      <c r="Y233" s="3">
        <v>0</v>
      </c>
      <c r="AA233" s="3">
        <v>0</v>
      </c>
      <c r="AC233" s="3">
        <f t="shared" si="7"/>
        <v>601075.82</v>
      </c>
    </row>
    <row r="234" spans="1:29" s="3" customFormat="1" ht="12">
      <c r="A234" s="3" t="s">
        <v>193</v>
      </c>
      <c r="C234" s="3" t="s">
        <v>16</v>
      </c>
      <c r="E234" s="3">
        <v>317384.06</v>
      </c>
      <c r="G234" s="3">
        <v>67396.8</v>
      </c>
      <c r="I234" s="3">
        <v>102422.99</v>
      </c>
      <c r="K234" s="3">
        <v>89102.55</v>
      </c>
      <c r="M234" s="3">
        <v>11091.02</v>
      </c>
      <c r="O234" s="3">
        <v>5647.6</v>
      </c>
      <c r="Q234" s="3">
        <v>1582.97</v>
      </c>
      <c r="S234" s="3">
        <v>0</v>
      </c>
      <c r="U234" s="3">
        <v>0</v>
      </c>
      <c r="W234" s="3">
        <v>0</v>
      </c>
      <c r="Y234" s="3">
        <v>0</v>
      </c>
      <c r="AA234" s="3">
        <v>0</v>
      </c>
      <c r="AC234" s="3">
        <f t="shared" si="7"/>
        <v>594627.99</v>
      </c>
    </row>
    <row r="235" spans="1:54" s="3" customFormat="1" ht="12">
      <c r="A235" s="44" t="s">
        <v>497</v>
      </c>
      <c r="B235" s="16"/>
      <c r="C235" s="16" t="s">
        <v>20</v>
      </c>
      <c r="D235" s="9"/>
      <c r="E235" s="9">
        <v>504363</v>
      </c>
      <c r="F235" s="9"/>
      <c r="G235" s="9">
        <v>0</v>
      </c>
      <c r="H235" s="9"/>
      <c r="I235" s="9">
        <f>12427192-504363-8543021</f>
        <v>3379808</v>
      </c>
      <c r="J235" s="9"/>
      <c r="K235" s="9">
        <v>0</v>
      </c>
      <c r="L235" s="9"/>
      <c r="M235" s="9">
        <v>0</v>
      </c>
      <c r="N235" s="9"/>
      <c r="O235" s="9">
        <v>0</v>
      </c>
      <c r="P235" s="9"/>
      <c r="Q235" s="9">
        <v>8543021</v>
      </c>
      <c r="R235" s="9"/>
      <c r="S235" s="9">
        <v>0</v>
      </c>
      <c r="T235" s="9"/>
      <c r="U235" s="9">
        <v>0</v>
      </c>
      <c r="V235" s="9"/>
      <c r="W235" s="9">
        <v>831000</v>
      </c>
      <c r="X235" s="9"/>
      <c r="Y235" s="9">
        <v>0</v>
      </c>
      <c r="Z235" s="9"/>
      <c r="AA235" s="9">
        <v>0</v>
      </c>
      <c r="AB235" s="9"/>
      <c r="AC235" s="9">
        <f t="shared" si="7"/>
        <v>13258192</v>
      </c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</row>
    <row r="236" spans="1:54" s="3" customFormat="1" ht="12">
      <c r="A236" s="9" t="s">
        <v>10</v>
      </c>
      <c r="B236" s="9"/>
      <c r="C236" s="9" t="s">
        <v>11</v>
      </c>
      <c r="D236" s="9"/>
      <c r="E236" s="9">
        <v>2821693</v>
      </c>
      <c r="F236" s="9"/>
      <c r="G236" s="9">
        <v>1134325</v>
      </c>
      <c r="H236" s="9"/>
      <c r="I236" s="9">
        <v>906110</v>
      </c>
      <c r="J236" s="9"/>
      <c r="K236" s="9">
        <v>1368217</v>
      </c>
      <c r="L236" s="9"/>
      <c r="M236" s="9">
        <v>97603</v>
      </c>
      <c r="N236" s="9"/>
      <c r="O236" s="9">
        <v>13716</v>
      </c>
      <c r="P236" s="9"/>
      <c r="Q236" s="9">
        <v>363419</v>
      </c>
      <c r="R236" s="9"/>
      <c r="S236" s="9">
        <v>0</v>
      </c>
      <c r="T236" s="9"/>
      <c r="U236" s="9">
        <v>0</v>
      </c>
      <c r="V236" s="9"/>
      <c r="W236" s="9">
        <v>0</v>
      </c>
      <c r="Y236" s="3">
        <v>0</v>
      </c>
      <c r="AA236" s="3">
        <v>0</v>
      </c>
      <c r="AB236" s="9"/>
      <c r="AC236" s="9">
        <f t="shared" si="7"/>
        <v>6705083</v>
      </c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</row>
    <row r="237" spans="1:29" s="3" customFormat="1" ht="12">
      <c r="A237" s="3" t="s">
        <v>194</v>
      </c>
      <c r="C237" s="3" t="s">
        <v>57</v>
      </c>
      <c r="E237" s="3">
        <v>402654.6</v>
      </c>
      <c r="G237" s="3">
        <v>149856.06</v>
      </c>
      <c r="I237" s="3">
        <v>133209.02</v>
      </c>
      <c r="K237" s="3">
        <v>334864.38</v>
      </c>
      <c r="M237" s="3">
        <v>42668.12</v>
      </c>
      <c r="O237" s="3">
        <v>13728.46</v>
      </c>
      <c r="Q237" s="3">
        <v>44090</v>
      </c>
      <c r="S237" s="3">
        <v>0</v>
      </c>
      <c r="U237" s="3">
        <v>0</v>
      </c>
      <c r="W237" s="3">
        <v>0</v>
      </c>
      <c r="Y237" s="3">
        <v>10495.79</v>
      </c>
      <c r="AA237" s="3">
        <v>0</v>
      </c>
      <c r="AC237" s="3">
        <f t="shared" si="7"/>
        <v>1131566.43</v>
      </c>
    </row>
    <row r="238" spans="1:29" s="3" customFormat="1" ht="12">
      <c r="A238" s="3" t="s">
        <v>195</v>
      </c>
      <c r="C238" s="3" t="s">
        <v>54</v>
      </c>
      <c r="E238" s="3">
        <v>102768.35</v>
      </c>
      <c r="G238" s="3">
        <v>34373.03</v>
      </c>
      <c r="I238" s="3">
        <v>215997.79</v>
      </c>
      <c r="K238" s="3">
        <v>40237.41</v>
      </c>
      <c r="M238" s="3">
        <v>4211.77</v>
      </c>
      <c r="O238" s="3">
        <v>5051.72</v>
      </c>
      <c r="Q238" s="3">
        <v>6276.85</v>
      </c>
      <c r="S238" s="3">
        <v>0</v>
      </c>
      <c r="U238" s="3">
        <v>0</v>
      </c>
      <c r="W238" s="3">
        <v>173033.66</v>
      </c>
      <c r="Y238" s="3">
        <v>0</v>
      </c>
      <c r="AA238" s="3">
        <v>0</v>
      </c>
      <c r="AC238" s="3">
        <f t="shared" si="7"/>
        <v>581950.5800000001</v>
      </c>
    </row>
    <row r="239" spans="1:29" s="3" customFormat="1" ht="12">
      <c r="A239" s="3" t="s">
        <v>196</v>
      </c>
      <c r="C239" s="3" t="s">
        <v>54</v>
      </c>
      <c r="E239" s="3">
        <v>257858.38</v>
      </c>
      <c r="G239" s="3">
        <v>102699.05</v>
      </c>
      <c r="I239" s="3">
        <v>97560.32</v>
      </c>
      <c r="K239" s="3">
        <v>83545.53</v>
      </c>
      <c r="M239" s="3">
        <v>41784.76</v>
      </c>
      <c r="O239" s="3">
        <v>8295.59</v>
      </c>
      <c r="Q239" s="3">
        <v>12873.42</v>
      </c>
      <c r="S239" s="3">
        <v>0</v>
      </c>
      <c r="U239" s="3">
        <v>0</v>
      </c>
      <c r="W239" s="3">
        <v>0</v>
      </c>
      <c r="Y239" s="3">
        <v>0</v>
      </c>
      <c r="AA239" s="3">
        <v>0</v>
      </c>
      <c r="AC239" s="3">
        <f t="shared" si="7"/>
        <v>604617.05</v>
      </c>
    </row>
    <row r="240" spans="1:29" s="3" customFormat="1" ht="12">
      <c r="A240" s="3" t="s">
        <v>197</v>
      </c>
      <c r="C240" s="3" t="s">
        <v>63</v>
      </c>
      <c r="E240" s="3">
        <v>77267.36</v>
      </c>
      <c r="G240" s="3">
        <v>28543.56</v>
      </c>
      <c r="I240" s="3">
        <v>42439.18</v>
      </c>
      <c r="K240" s="3">
        <v>23423.11</v>
      </c>
      <c r="M240" s="3">
        <v>4886.84</v>
      </c>
      <c r="O240" s="3">
        <v>1538</v>
      </c>
      <c r="Q240" s="3">
        <v>1364.45</v>
      </c>
      <c r="S240" s="3">
        <v>10962.72</v>
      </c>
      <c r="U240" s="3">
        <v>10510.92</v>
      </c>
      <c r="W240" s="3">
        <v>0</v>
      </c>
      <c r="Y240" s="3">
        <v>0</v>
      </c>
      <c r="AA240" s="3">
        <v>0</v>
      </c>
      <c r="AC240" s="3">
        <f t="shared" si="7"/>
        <v>200936.14000000004</v>
      </c>
    </row>
    <row r="241" spans="1:54" s="3" customFormat="1" ht="12">
      <c r="A241" s="9" t="s">
        <v>198</v>
      </c>
      <c r="B241" s="9"/>
      <c r="C241" s="9" t="s">
        <v>104</v>
      </c>
      <c r="D241" s="9"/>
      <c r="E241" s="9">
        <v>2200400</v>
      </c>
      <c r="F241" s="9"/>
      <c r="G241" s="9">
        <v>693755</v>
      </c>
      <c r="H241" s="9"/>
      <c r="I241" s="9">
        <v>600503</v>
      </c>
      <c r="J241" s="9"/>
      <c r="K241" s="9">
        <v>522625</v>
      </c>
      <c r="L241" s="9"/>
      <c r="M241" s="9">
        <v>76294</v>
      </c>
      <c r="N241" s="9"/>
      <c r="O241" s="9">
        <v>1083</v>
      </c>
      <c r="P241" s="9"/>
      <c r="Q241" s="9">
        <v>141935</v>
      </c>
      <c r="R241" s="9"/>
      <c r="S241" s="9">
        <v>0</v>
      </c>
      <c r="T241" s="9"/>
      <c r="U241" s="9">
        <v>0</v>
      </c>
      <c r="V241" s="9"/>
      <c r="W241" s="9">
        <v>0</v>
      </c>
      <c r="X241" s="9"/>
      <c r="Y241" s="9">
        <v>0</v>
      </c>
      <c r="Z241" s="9"/>
      <c r="AA241" s="9">
        <v>0</v>
      </c>
      <c r="AB241" s="9"/>
      <c r="AC241" s="9">
        <f t="shared" si="7"/>
        <v>4236595</v>
      </c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</row>
    <row r="242" spans="1:29" s="3" customFormat="1" ht="12" hidden="1">
      <c r="A242" s="3" t="s">
        <v>41</v>
      </c>
      <c r="C242" s="3" t="s">
        <v>45</v>
      </c>
      <c r="E242" s="3">
        <v>0</v>
      </c>
      <c r="G242" s="3">
        <v>0</v>
      </c>
      <c r="I242" s="3">
        <v>0</v>
      </c>
      <c r="K242" s="3">
        <v>0</v>
      </c>
      <c r="M242" s="3">
        <v>0</v>
      </c>
      <c r="O242" s="3">
        <v>0</v>
      </c>
      <c r="Q242" s="3">
        <v>0</v>
      </c>
      <c r="S242" s="3">
        <v>0</v>
      </c>
      <c r="U242" s="3">
        <v>0</v>
      </c>
      <c r="W242" s="3">
        <v>0</v>
      </c>
      <c r="Y242" s="3">
        <v>0</v>
      </c>
      <c r="AA242" s="3">
        <v>0</v>
      </c>
      <c r="AC242" s="3">
        <f t="shared" si="7"/>
        <v>0</v>
      </c>
    </row>
    <row r="243" spans="1:54" s="3" customFormat="1" ht="12">
      <c r="A243" s="9" t="s">
        <v>199</v>
      </c>
      <c r="B243" s="9"/>
      <c r="C243" s="9" t="s">
        <v>93</v>
      </c>
      <c r="D243" s="9"/>
      <c r="E243" s="9">
        <v>937589</v>
      </c>
      <c r="F243" s="9"/>
      <c r="G243" s="9">
        <v>101404</v>
      </c>
      <c r="H243" s="9"/>
      <c r="I243" s="9">
        <v>0</v>
      </c>
      <c r="J243" s="9"/>
      <c r="K243" s="9">
        <v>251977</v>
      </c>
      <c r="L243" s="9"/>
      <c r="M243" s="9">
        <v>60519</v>
      </c>
      <c r="N243" s="9"/>
      <c r="O243" s="9">
        <v>4000</v>
      </c>
      <c r="P243" s="9"/>
      <c r="Q243" s="9">
        <v>184808</v>
      </c>
      <c r="R243" s="9"/>
      <c r="S243" s="9">
        <v>0</v>
      </c>
      <c r="T243" s="9"/>
      <c r="U243" s="9">
        <v>0</v>
      </c>
      <c r="V243" s="9"/>
      <c r="W243" s="9">
        <v>0</v>
      </c>
      <c r="X243" s="9"/>
      <c r="Y243" s="9">
        <v>0</v>
      </c>
      <c r="AA243" s="3">
        <v>0</v>
      </c>
      <c r="AB243" s="9"/>
      <c r="AC243" s="9">
        <f t="shared" si="7"/>
        <v>1540297</v>
      </c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</row>
    <row r="244" spans="1:54" s="3" customFormat="1" ht="12">
      <c r="A244" s="9" t="s">
        <v>200</v>
      </c>
      <c r="B244" s="9"/>
      <c r="C244" s="9" t="s">
        <v>201</v>
      </c>
      <c r="D244" s="9"/>
      <c r="E244" s="9">
        <v>300993</v>
      </c>
      <c r="F244" s="9"/>
      <c r="G244" s="9">
        <v>116289</v>
      </c>
      <c r="H244" s="9"/>
      <c r="I244" s="9">
        <v>109715</v>
      </c>
      <c r="J244" s="9"/>
      <c r="K244" s="9">
        <v>246923</v>
      </c>
      <c r="L244" s="9"/>
      <c r="M244" s="9">
        <v>40017</v>
      </c>
      <c r="N244" s="9"/>
      <c r="O244" s="9">
        <v>3815</v>
      </c>
      <c r="P244" s="9"/>
      <c r="Q244" s="9">
        <v>61940</v>
      </c>
      <c r="R244" s="9"/>
      <c r="S244" s="9">
        <v>0</v>
      </c>
      <c r="T244" s="9"/>
      <c r="U244" s="9">
        <v>0</v>
      </c>
      <c r="V244" s="9"/>
      <c r="W244" s="9">
        <v>650000</v>
      </c>
      <c r="Y244" s="3">
        <v>0</v>
      </c>
      <c r="AA244" s="3">
        <v>0</v>
      </c>
      <c r="AB244" s="9"/>
      <c r="AC244" s="9">
        <f t="shared" si="7"/>
        <v>1529692</v>
      </c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</row>
    <row r="245" spans="1:29" s="3" customFormat="1" ht="12" hidden="1">
      <c r="A245" s="3" t="s">
        <v>312</v>
      </c>
      <c r="C245" s="3" t="s">
        <v>68</v>
      </c>
      <c r="E245" s="3">
        <v>0</v>
      </c>
      <c r="G245" s="3">
        <v>0</v>
      </c>
      <c r="I245" s="3">
        <v>0</v>
      </c>
      <c r="K245" s="3">
        <v>0</v>
      </c>
      <c r="M245" s="3">
        <v>0</v>
      </c>
      <c r="O245" s="3">
        <v>0</v>
      </c>
      <c r="Q245" s="3">
        <v>0</v>
      </c>
      <c r="S245" s="3">
        <v>0</v>
      </c>
      <c r="U245" s="3">
        <v>0</v>
      </c>
      <c r="W245" s="3">
        <v>0</v>
      </c>
      <c r="Y245" s="3">
        <v>0</v>
      </c>
      <c r="AA245" s="3">
        <v>0</v>
      </c>
      <c r="AC245" s="3">
        <f aca="true" t="shared" si="8" ref="AC245:AC268">SUM(E245:AA245)</f>
        <v>0</v>
      </c>
    </row>
    <row r="246" spans="1:29" s="3" customFormat="1" ht="12" hidden="1">
      <c r="A246" s="3" t="s">
        <v>313</v>
      </c>
      <c r="C246" s="3" t="s">
        <v>54</v>
      </c>
      <c r="E246" s="3">
        <v>0</v>
      </c>
      <c r="G246" s="3">
        <v>0</v>
      </c>
      <c r="I246" s="3">
        <v>0</v>
      </c>
      <c r="K246" s="3">
        <v>0</v>
      </c>
      <c r="M246" s="3">
        <v>0</v>
      </c>
      <c r="O246" s="3">
        <v>0</v>
      </c>
      <c r="Q246" s="3">
        <v>0</v>
      </c>
      <c r="S246" s="3">
        <v>0</v>
      </c>
      <c r="U246" s="3">
        <v>0</v>
      </c>
      <c r="W246" s="3">
        <v>0</v>
      </c>
      <c r="Y246" s="3">
        <v>0</v>
      </c>
      <c r="AA246" s="3">
        <v>0</v>
      </c>
      <c r="AC246" s="3">
        <f t="shared" si="8"/>
        <v>0</v>
      </c>
    </row>
    <row r="247" spans="1:29" s="3" customFormat="1" ht="12" hidden="1">
      <c r="A247" s="3" t="s">
        <v>314</v>
      </c>
      <c r="C247" s="3" t="s">
        <v>68</v>
      </c>
      <c r="E247" s="3">
        <v>0</v>
      </c>
      <c r="G247" s="3">
        <v>0</v>
      </c>
      <c r="I247" s="3">
        <v>0</v>
      </c>
      <c r="K247" s="3">
        <v>0</v>
      </c>
      <c r="M247" s="3">
        <v>0</v>
      </c>
      <c r="O247" s="3">
        <v>0</v>
      </c>
      <c r="Q247" s="3">
        <v>0</v>
      </c>
      <c r="S247" s="3">
        <v>0</v>
      </c>
      <c r="U247" s="3">
        <v>0</v>
      </c>
      <c r="W247" s="3">
        <v>0</v>
      </c>
      <c r="Y247" s="3">
        <v>0</v>
      </c>
      <c r="AA247" s="3">
        <v>0</v>
      </c>
      <c r="AC247" s="3">
        <f t="shared" si="8"/>
        <v>0</v>
      </c>
    </row>
    <row r="248" spans="1:29" s="3" customFormat="1" ht="12" hidden="1">
      <c r="A248" s="3" t="s">
        <v>42</v>
      </c>
      <c r="C248" s="3" t="s">
        <v>16</v>
      </c>
      <c r="E248" s="3">
        <v>0</v>
      </c>
      <c r="G248" s="3">
        <v>0</v>
      </c>
      <c r="I248" s="3">
        <v>0</v>
      </c>
      <c r="K248" s="3">
        <v>0</v>
      </c>
      <c r="M248" s="3">
        <v>0</v>
      </c>
      <c r="O248" s="3">
        <v>0</v>
      </c>
      <c r="Q248" s="3">
        <v>0</v>
      </c>
      <c r="S248" s="3">
        <v>0</v>
      </c>
      <c r="U248" s="3">
        <v>0</v>
      </c>
      <c r="W248" s="3">
        <v>0</v>
      </c>
      <c r="Y248" s="3">
        <v>0</v>
      </c>
      <c r="AA248" s="3">
        <v>0</v>
      </c>
      <c r="AC248" s="3">
        <f t="shared" si="8"/>
        <v>0</v>
      </c>
    </row>
    <row r="249" spans="1:54" s="3" customFormat="1" ht="12">
      <c r="A249" s="9" t="s">
        <v>12</v>
      </c>
      <c r="B249" s="9"/>
      <c r="C249" s="9" t="s">
        <v>13</v>
      </c>
      <c r="D249" s="9"/>
      <c r="E249" s="9">
        <v>0</v>
      </c>
      <c r="F249" s="9"/>
      <c r="G249" s="9">
        <v>0</v>
      </c>
      <c r="H249" s="9"/>
      <c r="I249" s="9">
        <v>764606</v>
      </c>
      <c r="J249" s="9"/>
      <c r="K249" s="9">
        <v>0</v>
      </c>
      <c r="L249" s="9"/>
      <c r="M249" s="9">
        <v>0</v>
      </c>
      <c r="N249" s="9"/>
      <c r="O249" s="9">
        <v>0</v>
      </c>
      <c r="P249" s="9"/>
      <c r="Q249" s="9">
        <v>24062</v>
      </c>
      <c r="R249" s="9"/>
      <c r="S249" s="9">
        <v>0</v>
      </c>
      <c r="T249" s="9"/>
      <c r="U249" s="9">
        <v>0</v>
      </c>
      <c r="V249" s="9"/>
      <c r="W249" s="9">
        <v>322300</v>
      </c>
      <c r="Y249" s="3">
        <v>0</v>
      </c>
      <c r="AA249" s="3">
        <v>0</v>
      </c>
      <c r="AB249" s="9"/>
      <c r="AC249" s="9">
        <f t="shared" si="8"/>
        <v>1110968</v>
      </c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</row>
    <row r="250" spans="1:54" s="3" customFormat="1" ht="12">
      <c r="A250" s="9" t="s">
        <v>202</v>
      </c>
      <c r="B250" s="9"/>
      <c r="C250" s="9" t="s">
        <v>60</v>
      </c>
      <c r="D250" s="9"/>
      <c r="E250" s="9">
        <v>3991793</v>
      </c>
      <c r="F250" s="9"/>
      <c r="G250" s="9">
        <v>1089316</v>
      </c>
      <c r="H250" s="9"/>
      <c r="I250" s="9">
        <v>1358677</v>
      </c>
      <c r="J250" s="9"/>
      <c r="K250" s="9">
        <v>1354589</v>
      </c>
      <c r="L250" s="9"/>
      <c r="M250" s="9">
        <v>196874</v>
      </c>
      <c r="N250" s="9"/>
      <c r="O250" s="9">
        <v>40307</v>
      </c>
      <c r="P250" s="9"/>
      <c r="Q250" s="9">
        <v>300085</v>
      </c>
      <c r="R250" s="9"/>
      <c r="S250" s="9">
        <v>0</v>
      </c>
      <c r="T250" s="9"/>
      <c r="U250" s="9">
        <v>0</v>
      </c>
      <c r="V250" s="9"/>
      <c r="W250" s="9">
        <v>497450</v>
      </c>
      <c r="Y250" s="3">
        <v>0</v>
      </c>
      <c r="AA250" s="3">
        <v>0</v>
      </c>
      <c r="AB250" s="9"/>
      <c r="AC250" s="9">
        <f t="shared" si="8"/>
        <v>8829091</v>
      </c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</row>
    <row r="251" spans="1:54" s="3" customFormat="1" ht="12">
      <c r="A251" s="9" t="s">
        <v>203</v>
      </c>
      <c r="B251" s="9"/>
      <c r="C251" s="9" t="s">
        <v>87</v>
      </c>
      <c r="D251" s="9"/>
      <c r="E251" s="9">
        <v>347053</v>
      </c>
      <c r="F251" s="9"/>
      <c r="G251" s="9">
        <v>98947</v>
      </c>
      <c r="H251" s="9"/>
      <c r="I251" s="9">
        <v>137036</v>
      </c>
      <c r="J251" s="9"/>
      <c r="K251" s="9">
        <v>101564</v>
      </c>
      <c r="L251" s="9"/>
      <c r="M251" s="9">
        <v>16847</v>
      </c>
      <c r="N251" s="9"/>
      <c r="O251" s="9">
        <v>2672</v>
      </c>
      <c r="P251" s="9"/>
      <c r="Q251" s="9">
        <v>22762</v>
      </c>
      <c r="R251" s="9"/>
      <c r="S251" s="9">
        <v>14409</v>
      </c>
      <c r="T251" s="9"/>
      <c r="U251" s="9">
        <v>7462</v>
      </c>
      <c r="V251" s="9"/>
      <c r="W251" s="9">
        <v>0</v>
      </c>
      <c r="Y251" s="3">
        <v>0</v>
      </c>
      <c r="AA251" s="3">
        <v>0</v>
      </c>
      <c r="AB251" s="9"/>
      <c r="AC251" s="9">
        <f t="shared" si="8"/>
        <v>748752</v>
      </c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</row>
    <row r="252" spans="1:29" s="3" customFormat="1" ht="12" hidden="1">
      <c r="A252" s="3" t="s">
        <v>318</v>
      </c>
      <c r="C252" s="3" t="s">
        <v>72</v>
      </c>
      <c r="E252" s="3">
        <v>0</v>
      </c>
      <c r="G252" s="3">
        <v>0</v>
      </c>
      <c r="I252" s="3">
        <v>0</v>
      </c>
      <c r="K252" s="3">
        <v>0</v>
      </c>
      <c r="M252" s="3">
        <v>0</v>
      </c>
      <c r="O252" s="3">
        <v>0</v>
      </c>
      <c r="Q252" s="3">
        <v>0</v>
      </c>
      <c r="S252" s="3">
        <v>0</v>
      </c>
      <c r="U252" s="3">
        <v>0</v>
      </c>
      <c r="W252" s="3">
        <v>0</v>
      </c>
      <c r="Y252" s="3">
        <v>0</v>
      </c>
      <c r="AA252" s="3">
        <v>0</v>
      </c>
      <c r="AC252" s="3">
        <f t="shared" si="8"/>
        <v>0</v>
      </c>
    </row>
    <row r="253" spans="1:29" s="3" customFormat="1" ht="12">
      <c r="A253" s="3" t="s">
        <v>355</v>
      </c>
      <c r="C253" s="3" t="s">
        <v>26</v>
      </c>
      <c r="E253" s="3">
        <v>409997.36</v>
      </c>
      <c r="G253" s="3">
        <v>65828.47</v>
      </c>
      <c r="I253" s="3">
        <v>102244.56</v>
      </c>
      <c r="K253" s="3">
        <v>127596.52</v>
      </c>
      <c r="M253" s="3">
        <v>15370.36</v>
      </c>
      <c r="O253" s="3">
        <v>7198.11</v>
      </c>
      <c r="Q253" s="3">
        <v>85676.44</v>
      </c>
      <c r="S253" s="3">
        <v>0</v>
      </c>
      <c r="U253" s="3">
        <v>0</v>
      </c>
      <c r="W253" s="3">
        <v>0</v>
      </c>
      <c r="Y253" s="3">
        <v>0</v>
      </c>
      <c r="AA253" s="3">
        <v>449.99</v>
      </c>
      <c r="AC253" s="3">
        <f t="shared" si="8"/>
        <v>814361.8099999998</v>
      </c>
    </row>
    <row r="254" spans="1:29" s="3" customFormat="1" ht="12" hidden="1">
      <c r="A254" s="3" t="s">
        <v>320</v>
      </c>
      <c r="C254" s="3" t="s">
        <v>84</v>
      </c>
      <c r="E254" s="3">
        <v>0</v>
      </c>
      <c r="G254" s="3">
        <v>0</v>
      </c>
      <c r="I254" s="3">
        <v>0</v>
      </c>
      <c r="K254" s="3">
        <v>0</v>
      </c>
      <c r="M254" s="3">
        <v>0</v>
      </c>
      <c r="O254" s="3">
        <v>0</v>
      </c>
      <c r="Q254" s="3">
        <v>0</v>
      </c>
      <c r="S254" s="3">
        <v>0</v>
      </c>
      <c r="U254" s="3">
        <v>0</v>
      </c>
      <c r="W254" s="3">
        <v>0</v>
      </c>
      <c r="Y254" s="3">
        <v>0</v>
      </c>
      <c r="AA254" s="3">
        <v>0</v>
      </c>
      <c r="AC254" s="3">
        <f t="shared" si="8"/>
        <v>0</v>
      </c>
    </row>
    <row r="255" spans="1:29" s="3" customFormat="1" ht="12" hidden="1">
      <c r="A255" s="3" t="s">
        <v>368</v>
      </c>
      <c r="C255" s="3" t="s">
        <v>73</v>
      </c>
      <c r="E255" s="3">
        <v>0</v>
      </c>
      <c r="G255" s="3">
        <v>0</v>
      </c>
      <c r="I255" s="3">
        <v>0</v>
      </c>
      <c r="K255" s="3">
        <v>0</v>
      </c>
      <c r="M255" s="3">
        <v>0</v>
      </c>
      <c r="O255" s="3">
        <v>0</v>
      </c>
      <c r="Q255" s="3">
        <v>0</v>
      </c>
      <c r="S255" s="3">
        <v>0</v>
      </c>
      <c r="U255" s="3">
        <v>0</v>
      </c>
      <c r="W255" s="3">
        <v>0</v>
      </c>
      <c r="Y255" s="3">
        <v>0</v>
      </c>
      <c r="AA255" s="3">
        <v>0</v>
      </c>
      <c r="AC255" s="3">
        <f t="shared" si="8"/>
        <v>0</v>
      </c>
    </row>
    <row r="256" spans="1:54" s="3" customFormat="1" ht="12">
      <c r="A256" s="9" t="s">
        <v>205</v>
      </c>
      <c r="B256" s="9"/>
      <c r="C256" s="9" t="s">
        <v>16</v>
      </c>
      <c r="D256" s="9"/>
      <c r="E256" s="9">
        <v>572392</v>
      </c>
      <c r="F256" s="9"/>
      <c r="G256" s="9">
        <v>163848</v>
      </c>
      <c r="H256" s="9"/>
      <c r="I256" s="9">
        <v>232700</v>
      </c>
      <c r="J256" s="9"/>
      <c r="K256" s="9">
        <v>256896</v>
      </c>
      <c r="L256" s="9"/>
      <c r="M256" s="9">
        <v>20500</v>
      </c>
      <c r="N256" s="9"/>
      <c r="O256" s="9">
        <v>7662</v>
      </c>
      <c r="P256" s="9"/>
      <c r="Q256" s="9">
        <v>20046</v>
      </c>
      <c r="S256" s="3">
        <v>0</v>
      </c>
      <c r="U256" s="3">
        <v>0</v>
      </c>
      <c r="W256" s="3">
        <v>0</v>
      </c>
      <c r="Y256" s="3">
        <v>0</v>
      </c>
      <c r="AA256" s="3">
        <v>0</v>
      </c>
      <c r="AB256" s="9"/>
      <c r="AC256" s="9">
        <f t="shared" si="8"/>
        <v>1274044</v>
      </c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</row>
    <row r="257" spans="1:29" s="3" customFormat="1" ht="12" hidden="1">
      <c r="A257" s="3" t="s">
        <v>323</v>
      </c>
      <c r="C257" s="3" t="s">
        <v>58</v>
      </c>
      <c r="E257" s="3">
        <v>0</v>
      </c>
      <c r="G257" s="3">
        <v>0</v>
      </c>
      <c r="I257" s="3">
        <v>0</v>
      </c>
      <c r="K257" s="3">
        <v>0</v>
      </c>
      <c r="M257" s="3">
        <v>0</v>
      </c>
      <c r="O257" s="3">
        <v>0</v>
      </c>
      <c r="Q257" s="3">
        <v>0</v>
      </c>
      <c r="S257" s="3">
        <v>0</v>
      </c>
      <c r="U257" s="3">
        <v>0</v>
      </c>
      <c r="W257" s="3">
        <v>0</v>
      </c>
      <c r="Y257" s="3">
        <v>0</v>
      </c>
      <c r="AA257" s="3">
        <v>0</v>
      </c>
      <c r="AC257" s="3">
        <f t="shared" si="8"/>
        <v>0</v>
      </c>
    </row>
    <row r="258" spans="1:54" s="3" customFormat="1" ht="12">
      <c r="A258" s="9" t="s">
        <v>206</v>
      </c>
      <c r="B258" s="9"/>
      <c r="C258" s="9" t="s">
        <v>207</v>
      </c>
      <c r="D258" s="9"/>
      <c r="E258" s="9">
        <v>3896350</v>
      </c>
      <c r="F258" s="9"/>
      <c r="G258" s="9">
        <v>2101573</v>
      </c>
      <c r="H258" s="9"/>
      <c r="I258" s="9">
        <v>945170</v>
      </c>
      <c r="J258" s="9"/>
      <c r="K258" s="9">
        <v>1092642</v>
      </c>
      <c r="L258" s="9"/>
      <c r="M258" s="9">
        <v>223229</v>
      </c>
      <c r="N258" s="9"/>
      <c r="O258" s="9">
        <v>23749</v>
      </c>
      <c r="P258" s="9"/>
      <c r="Q258" s="9">
        <v>44563</v>
      </c>
      <c r="R258" s="9"/>
      <c r="S258" s="9">
        <v>0</v>
      </c>
      <c r="T258" s="9"/>
      <c r="U258" s="9">
        <v>0</v>
      </c>
      <c r="V258" s="9"/>
      <c r="W258" s="9">
        <v>504015</v>
      </c>
      <c r="Y258" s="3">
        <v>0</v>
      </c>
      <c r="AA258" s="3">
        <v>0</v>
      </c>
      <c r="AB258" s="9"/>
      <c r="AC258" s="9">
        <f t="shared" si="8"/>
        <v>8831291</v>
      </c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</row>
    <row r="259" spans="1:29" s="3" customFormat="1" ht="12" customHeight="1">
      <c r="A259" s="3" t="s">
        <v>208</v>
      </c>
      <c r="C259" s="3" t="s">
        <v>109</v>
      </c>
      <c r="E259" s="3">
        <v>25814.71</v>
      </c>
      <c r="G259" s="3">
        <v>3843.36</v>
      </c>
      <c r="I259" s="3">
        <v>13326.49</v>
      </c>
      <c r="K259" s="3">
        <v>19733.71</v>
      </c>
      <c r="M259" s="3">
        <v>4503.95</v>
      </c>
      <c r="O259" s="3">
        <v>256.15</v>
      </c>
      <c r="Q259" s="3">
        <v>599.98</v>
      </c>
      <c r="S259" s="3">
        <v>0</v>
      </c>
      <c r="U259" s="3">
        <v>0</v>
      </c>
      <c r="W259" s="3">
        <v>0</v>
      </c>
      <c r="Y259" s="3">
        <v>0</v>
      </c>
      <c r="AA259" s="3">
        <v>3554.87</v>
      </c>
      <c r="AC259" s="3">
        <f t="shared" si="8"/>
        <v>71633.21999999999</v>
      </c>
    </row>
    <row r="260" spans="1:54" s="3" customFormat="1" ht="12">
      <c r="A260" s="9" t="s">
        <v>209</v>
      </c>
      <c r="B260" s="9"/>
      <c r="C260" s="9" t="s">
        <v>210</v>
      </c>
      <c r="D260" s="9"/>
      <c r="E260" s="9">
        <v>1457239</v>
      </c>
      <c r="F260" s="9"/>
      <c r="G260" s="9">
        <v>514469</v>
      </c>
      <c r="H260" s="9"/>
      <c r="I260" s="9">
        <v>283724</v>
      </c>
      <c r="J260" s="9"/>
      <c r="K260" s="9">
        <v>344049</v>
      </c>
      <c r="L260" s="9"/>
      <c r="M260" s="9">
        <v>51012</v>
      </c>
      <c r="N260" s="9"/>
      <c r="O260" s="9">
        <v>15019</v>
      </c>
      <c r="P260" s="9"/>
      <c r="Q260" s="9">
        <v>75470</v>
      </c>
      <c r="R260" s="9"/>
      <c r="S260" s="9">
        <v>0</v>
      </c>
      <c r="T260" s="9"/>
      <c r="U260" s="9">
        <v>0</v>
      </c>
      <c r="W260" s="3">
        <v>0</v>
      </c>
      <c r="Y260" s="3">
        <v>0</v>
      </c>
      <c r="AA260" s="3">
        <v>0</v>
      </c>
      <c r="AB260" s="9"/>
      <c r="AC260" s="9">
        <f t="shared" si="8"/>
        <v>2740982</v>
      </c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</row>
    <row r="261" spans="1:54" s="3" customFormat="1" ht="12">
      <c r="A261" s="9" t="s">
        <v>486</v>
      </c>
      <c r="B261" s="9"/>
      <c r="C261" s="9" t="s">
        <v>14</v>
      </c>
      <c r="D261" s="9"/>
      <c r="E261" s="9">
        <v>0</v>
      </c>
      <c r="F261" s="9"/>
      <c r="G261" s="9">
        <v>0</v>
      </c>
      <c r="H261" s="9"/>
      <c r="I261" s="9">
        <v>1252808</v>
      </c>
      <c r="J261" s="9"/>
      <c r="K261" s="9">
        <v>0</v>
      </c>
      <c r="L261" s="9"/>
      <c r="M261" s="9">
        <v>0</v>
      </c>
      <c r="N261" s="9"/>
      <c r="O261" s="9">
        <v>0</v>
      </c>
      <c r="P261" s="9"/>
      <c r="Q261" s="9">
        <v>23339</v>
      </c>
      <c r="R261" s="9"/>
      <c r="S261" s="9">
        <v>0</v>
      </c>
      <c r="T261" s="9"/>
      <c r="U261" s="9">
        <v>0</v>
      </c>
      <c r="V261" s="9"/>
      <c r="W261" s="9">
        <v>5000</v>
      </c>
      <c r="Y261" s="3">
        <v>0</v>
      </c>
      <c r="AA261" s="3">
        <v>0</v>
      </c>
      <c r="AB261" s="9"/>
      <c r="AC261" s="9">
        <f t="shared" si="8"/>
        <v>1281147</v>
      </c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</row>
    <row r="262" spans="1:29" s="3" customFormat="1" ht="12">
      <c r="A262" s="3" t="s">
        <v>486</v>
      </c>
      <c r="C262" s="3" t="s">
        <v>14</v>
      </c>
      <c r="E262" s="3">
        <v>581226.36</v>
      </c>
      <c r="G262" s="3">
        <v>167421.73</v>
      </c>
      <c r="I262" s="3">
        <v>197823.12</v>
      </c>
      <c r="K262" s="3">
        <v>268807.91</v>
      </c>
      <c r="M262" s="3">
        <v>33818.88</v>
      </c>
      <c r="O262" s="3">
        <v>3710.11</v>
      </c>
      <c r="Q262" s="3">
        <v>23802.35</v>
      </c>
      <c r="S262" s="3">
        <v>0</v>
      </c>
      <c r="U262" s="3">
        <v>0</v>
      </c>
      <c r="W262" s="3">
        <v>5000</v>
      </c>
      <c r="Y262" s="3">
        <v>0</v>
      </c>
      <c r="AA262" s="3">
        <v>0</v>
      </c>
      <c r="AC262" s="3">
        <f t="shared" si="8"/>
        <v>1281610.46</v>
      </c>
    </row>
    <row r="263" spans="1:29" s="3" customFormat="1" ht="12">
      <c r="A263" s="3" t="s">
        <v>211</v>
      </c>
      <c r="C263" s="3" t="s">
        <v>207</v>
      </c>
      <c r="E263" s="3">
        <v>265672.93</v>
      </c>
      <c r="G263" s="3">
        <v>112288.97</v>
      </c>
      <c r="I263" s="3">
        <v>99160.26</v>
      </c>
      <c r="K263" s="3">
        <v>95791.8</v>
      </c>
      <c r="M263" s="3">
        <v>23437.64</v>
      </c>
      <c r="O263" s="3">
        <v>2105.31</v>
      </c>
      <c r="Q263" s="3">
        <v>14659.52</v>
      </c>
      <c r="S263" s="3">
        <v>0</v>
      </c>
      <c r="U263" s="3">
        <v>456.74</v>
      </c>
      <c r="W263" s="3">
        <v>0</v>
      </c>
      <c r="Y263" s="3">
        <v>0</v>
      </c>
      <c r="AA263" s="3">
        <v>9518.58</v>
      </c>
      <c r="AC263" s="3">
        <f t="shared" si="8"/>
        <v>623091.7500000001</v>
      </c>
    </row>
    <row r="264" spans="1:29" s="3" customFormat="1" ht="12">
      <c r="A264" s="3" t="s">
        <v>212</v>
      </c>
      <c r="C264" s="3" t="s">
        <v>57</v>
      </c>
      <c r="E264" s="3">
        <v>385080.12</v>
      </c>
      <c r="G264" s="3">
        <v>65736.71</v>
      </c>
      <c r="I264" s="3">
        <v>126589.24</v>
      </c>
      <c r="K264" s="3">
        <v>114776.99</v>
      </c>
      <c r="M264" s="3">
        <v>13627.41</v>
      </c>
      <c r="O264" s="3">
        <v>5997.81</v>
      </c>
      <c r="Q264" s="3">
        <v>70828.27</v>
      </c>
      <c r="S264" s="3">
        <v>0</v>
      </c>
      <c r="U264" s="3">
        <v>0</v>
      </c>
      <c r="W264" s="3">
        <v>125000</v>
      </c>
      <c r="Y264" s="3">
        <v>0</v>
      </c>
      <c r="AA264" s="3">
        <v>0</v>
      </c>
      <c r="AC264" s="3">
        <f t="shared" si="8"/>
        <v>907636.5500000002</v>
      </c>
    </row>
    <row r="265" spans="1:29" s="3" customFormat="1" ht="12">
      <c r="A265" s="3" t="s">
        <v>213</v>
      </c>
      <c r="C265" s="3" t="s">
        <v>64</v>
      </c>
      <c r="E265" s="3">
        <v>332698.1</v>
      </c>
      <c r="G265" s="3">
        <v>99763.33</v>
      </c>
      <c r="I265" s="3">
        <v>93305.83</v>
      </c>
      <c r="K265" s="3">
        <v>146622.3</v>
      </c>
      <c r="M265" s="3">
        <v>73935.67</v>
      </c>
      <c r="O265" s="3">
        <v>8141.96</v>
      </c>
      <c r="Q265" s="3">
        <v>59763.39</v>
      </c>
      <c r="S265" s="3">
        <v>0</v>
      </c>
      <c r="U265" s="3">
        <v>0</v>
      </c>
      <c r="W265" s="3">
        <v>189665.7</v>
      </c>
      <c r="Y265" s="3">
        <v>0</v>
      </c>
      <c r="AA265" s="3">
        <v>0</v>
      </c>
      <c r="AC265" s="3">
        <f t="shared" si="8"/>
        <v>1003896.28</v>
      </c>
    </row>
    <row r="266" spans="1:54" s="3" customFormat="1" ht="12">
      <c r="A266" s="9" t="s">
        <v>214</v>
      </c>
      <c r="B266" s="9"/>
      <c r="C266" s="9" t="s">
        <v>215</v>
      </c>
      <c r="D266" s="9"/>
      <c r="E266" s="9">
        <v>691095</v>
      </c>
      <c r="F266" s="9"/>
      <c r="G266" s="9">
        <v>158098</v>
      </c>
      <c r="H266" s="9"/>
      <c r="I266" s="9">
        <v>127843</v>
      </c>
      <c r="J266" s="9"/>
      <c r="K266" s="9">
        <v>252210</v>
      </c>
      <c r="L266" s="9"/>
      <c r="M266" s="9">
        <v>31296</v>
      </c>
      <c r="N266" s="9"/>
      <c r="O266" s="9">
        <v>69491</v>
      </c>
      <c r="P266" s="9"/>
      <c r="Q266" s="9">
        <v>521605</v>
      </c>
      <c r="R266" s="9"/>
      <c r="S266" s="9">
        <v>0</v>
      </c>
      <c r="T266" s="9"/>
      <c r="U266" s="9">
        <v>0</v>
      </c>
      <c r="V266" s="9"/>
      <c r="W266" s="9">
        <v>165000</v>
      </c>
      <c r="Y266" s="3">
        <v>0</v>
      </c>
      <c r="AA266" s="3">
        <v>0</v>
      </c>
      <c r="AB266" s="9"/>
      <c r="AC266" s="9">
        <f t="shared" si="8"/>
        <v>2016638</v>
      </c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</row>
    <row r="267" spans="1:29" s="3" customFormat="1" ht="12">
      <c r="A267" s="3" t="s">
        <v>216</v>
      </c>
      <c r="C267" s="3" t="s">
        <v>57</v>
      </c>
      <c r="E267" s="3">
        <v>613126.54</v>
      </c>
      <c r="G267" s="3">
        <v>216133.17</v>
      </c>
      <c r="I267" s="3">
        <v>191180.14</v>
      </c>
      <c r="K267" s="3">
        <v>276714.46</v>
      </c>
      <c r="M267" s="3">
        <v>34521.78</v>
      </c>
      <c r="O267" s="3">
        <v>4607.68</v>
      </c>
      <c r="Q267" s="3">
        <v>60914.17</v>
      </c>
      <c r="S267" s="3">
        <v>0</v>
      </c>
      <c r="U267" s="3">
        <v>0</v>
      </c>
      <c r="W267" s="3">
        <v>0</v>
      </c>
      <c r="Y267" s="3">
        <v>0</v>
      </c>
      <c r="AA267" s="3">
        <v>7</v>
      </c>
      <c r="AC267" s="3">
        <f t="shared" si="8"/>
        <v>1397204.94</v>
      </c>
    </row>
    <row r="268" spans="1:29" s="3" customFormat="1" ht="12">
      <c r="A268" s="3" t="s">
        <v>528</v>
      </c>
      <c r="C268" s="3" t="s">
        <v>26</v>
      </c>
      <c r="E268" s="3">
        <v>1139795.96</v>
      </c>
      <c r="G268" s="3">
        <v>247414.78</v>
      </c>
      <c r="I268" s="3">
        <v>361809.09</v>
      </c>
      <c r="K268" s="3">
        <v>466848.97</v>
      </c>
      <c r="M268" s="3">
        <v>54331.49</v>
      </c>
      <c r="O268" s="3">
        <v>11992.97</v>
      </c>
      <c r="Q268" s="3">
        <v>210368.37</v>
      </c>
      <c r="S268" s="3">
        <v>0</v>
      </c>
      <c r="U268" s="3">
        <v>0</v>
      </c>
      <c r="W268" s="3">
        <v>112000</v>
      </c>
      <c r="Y268" s="3">
        <v>0</v>
      </c>
      <c r="AA268" s="3">
        <v>0</v>
      </c>
      <c r="AC268" s="3">
        <f t="shared" si="8"/>
        <v>2604561.6300000004</v>
      </c>
    </row>
    <row r="269" s="3" customFormat="1" ht="12">
      <c r="AC269" s="21" t="s">
        <v>8</v>
      </c>
    </row>
    <row r="270" spans="1:29" s="4" customFormat="1" ht="12">
      <c r="A270" s="4" t="s">
        <v>218</v>
      </c>
      <c r="C270" s="4" t="s">
        <v>150</v>
      </c>
      <c r="E270" s="4">
        <v>146538.38</v>
      </c>
      <c r="G270" s="4">
        <v>65761.58</v>
      </c>
      <c r="I270" s="4">
        <v>32081.67</v>
      </c>
      <c r="K270" s="4">
        <v>31127.04</v>
      </c>
      <c r="M270" s="4">
        <v>7244.91</v>
      </c>
      <c r="O270" s="4">
        <v>2852</v>
      </c>
      <c r="Q270" s="4">
        <v>4618.04</v>
      </c>
      <c r="S270" s="4">
        <v>0</v>
      </c>
      <c r="U270" s="4">
        <v>0</v>
      </c>
      <c r="W270" s="4">
        <v>0</v>
      </c>
      <c r="Y270" s="4">
        <v>0</v>
      </c>
      <c r="AA270" s="4">
        <v>0</v>
      </c>
      <c r="AC270" s="4">
        <f aca="true" t="shared" si="9" ref="AC270:AC301">SUM(E270:AA270)</f>
        <v>290223.61999999994</v>
      </c>
    </row>
    <row r="271" spans="1:54" s="3" customFormat="1" ht="12">
      <c r="A271" s="9" t="s">
        <v>500</v>
      </c>
      <c r="B271" s="9"/>
      <c r="C271" s="9" t="s">
        <v>59</v>
      </c>
      <c r="D271" s="9"/>
      <c r="E271" s="9">
        <v>560340</v>
      </c>
      <c r="F271" s="9"/>
      <c r="G271" s="9">
        <v>157270</v>
      </c>
      <c r="H271" s="9"/>
      <c r="I271" s="9">
        <v>290775</v>
      </c>
      <c r="J271" s="9"/>
      <c r="K271" s="9">
        <v>282741</v>
      </c>
      <c r="L271" s="9"/>
      <c r="M271" s="9">
        <v>41754</v>
      </c>
      <c r="N271" s="9"/>
      <c r="O271" s="9">
        <v>10012</v>
      </c>
      <c r="P271" s="9"/>
      <c r="Q271" s="9">
        <v>40350</v>
      </c>
      <c r="S271" s="3">
        <v>0</v>
      </c>
      <c r="U271" s="3">
        <v>0</v>
      </c>
      <c r="W271" s="3">
        <v>0</v>
      </c>
      <c r="Y271" s="3">
        <v>0</v>
      </c>
      <c r="AA271" s="3">
        <v>0</v>
      </c>
      <c r="AB271" s="9"/>
      <c r="AC271" s="9">
        <f t="shared" si="9"/>
        <v>1383242</v>
      </c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</row>
    <row r="272" spans="1:29" s="3" customFormat="1" ht="12">
      <c r="A272" s="3" t="s">
        <v>219</v>
      </c>
      <c r="C272" s="3" t="s">
        <v>65</v>
      </c>
      <c r="E272" s="3">
        <v>183739.02</v>
      </c>
      <c r="G272" s="3">
        <v>70191.89</v>
      </c>
      <c r="I272" s="3">
        <v>33018</v>
      </c>
      <c r="K272" s="3">
        <v>39889.79</v>
      </c>
      <c r="M272" s="3">
        <v>9977.79</v>
      </c>
      <c r="O272" s="3">
        <v>1500</v>
      </c>
      <c r="Q272" s="3">
        <v>7839.15</v>
      </c>
      <c r="S272" s="3">
        <v>0</v>
      </c>
      <c r="U272" s="3">
        <v>0</v>
      </c>
      <c r="W272" s="3">
        <v>0</v>
      </c>
      <c r="Y272" s="3">
        <v>0</v>
      </c>
      <c r="AA272" s="3">
        <v>6090</v>
      </c>
      <c r="AC272" s="3">
        <f t="shared" si="9"/>
        <v>352245.63999999996</v>
      </c>
    </row>
    <row r="273" spans="1:54" s="3" customFormat="1" ht="12">
      <c r="A273" s="9" t="s">
        <v>220</v>
      </c>
      <c r="B273" s="9"/>
      <c r="C273" s="9" t="s">
        <v>21</v>
      </c>
      <c r="D273" s="9"/>
      <c r="E273" s="9">
        <v>3888613</v>
      </c>
      <c r="F273" s="9"/>
      <c r="G273" s="9">
        <v>1021878</v>
      </c>
      <c r="H273" s="9"/>
      <c r="I273" s="9">
        <v>3256707</v>
      </c>
      <c r="J273" s="9"/>
      <c r="K273" s="9">
        <v>1547774</v>
      </c>
      <c r="L273" s="9"/>
      <c r="M273" s="9">
        <v>225147</v>
      </c>
      <c r="N273" s="9"/>
      <c r="O273" s="9">
        <v>26214</v>
      </c>
      <c r="P273" s="9"/>
      <c r="Q273" s="9">
        <v>14692415</v>
      </c>
      <c r="S273" s="3">
        <v>1825000</v>
      </c>
      <c r="U273" s="3">
        <v>1692888</v>
      </c>
      <c r="W273" s="3">
        <v>0</v>
      </c>
      <c r="Y273" s="3">
        <v>0</v>
      </c>
      <c r="AA273" s="3">
        <v>0</v>
      </c>
      <c r="AB273" s="9"/>
      <c r="AC273" s="9">
        <f t="shared" si="9"/>
        <v>28176636</v>
      </c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</row>
    <row r="274" spans="1:29" s="3" customFormat="1" ht="12">
      <c r="A274" s="3" t="s">
        <v>576</v>
      </c>
      <c r="C274" s="3" t="s">
        <v>489</v>
      </c>
      <c r="E274" s="3">
        <v>439610.2</v>
      </c>
      <c r="G274" s="3">
        <v>127069.25</v>
      </c>
      <c r="I274" s="3">
        <v>97951.71</v>
      </c>
      <c r="K274" s="3">
        <v>136379.5</v>
      </c>
      <c r="M274" s="3">
        <v>18707.08</v>
      </c>
      <c r="O274" s="3">
        <v>4442.95</v>
      </c>
      <c r="Q274" s="3">
        <v>106283.85</v>
      </c>
      <c r="S274" s="3">
        <v>0</v>
      </c>
      <c r="U274" s="3">
        <v>0</v>
      </c>
      <c r="W274" s="3">
        <v>175000</v>
      </c>
      <c r="Y274" s="3">
        <v>0</v>
      </c>
      <c r="AA274" s="3">
        <v>0</v>
      </c>
      <c r="AC274" s="3">
        <f t="shared" si="9"/>
        <v>1105444.5399999998</v>
      </c>
    </row>
    <row r="275" spans="1:29" s="3" customFormat="1" ht="12">
      <c r="A275" s="3" t="s">
        <v>542</v>
      </c>
      <c r="C275" s="3" t="s">
        <v>53</v>
      </c>
      <c r="E275" s="3">
        <v>504387.7</v>
      </c>
      <c r="G275" s="3">
        <v>145933.86</v>
      </c>
      <c r="I275" s="3">
        <v>145652.95</v>
      </c>
      <c r="K275" s="3">
        <v>84639.46</v>
      </c>
      <c r="M275" s="3">
        <v>24798.85</v>
      </c>
      <c r="O275" s="3">
        <v>8003.5</v>
      </c>
      <c r="Q275" s="3">
        <v>11312.27</v>
      </c>
      <c r="S275" s="3">
        <v>0</v>
      </c>
      <c r="U275" s="3">
        <v>0</v>
      </c>
      <c r="W275" s="3">
        <v>75000</v>
      </c>
      <c r="Y275" s="3">
        <v>0</v>
      </c>
      <c r="AA275" s="3">
        <v>0</v>
      </c>
      <c r="AC275" s="3">
        <f t="shared" si="9"/>
        <v>999728.59</v>
      </c>
    </row>
    <row r="276" spans="1:54" s="3" customFormat="1" ht="12">
      <c r="A276" s="9" t="s">
        <v>222</v>
      </c>
      <c r="B276" s="9"/>
      <c r="C276" s="9" t="s">
        <v>11</v>
      </c>
      <c r="D276" s="9"/>
      <c r="E276" s="9">
        <v>731933</v>
      </c>
      <c r="F276" s="9"/>
      <c r="G276" s="9">
        <v>0</v>
      </c>
      <c r="H276" s="9"/>
      <c r="I276" s="9">
        <f>6065866-107305-731933</f>
        <v>5226628</v>
      </c>
      <c r="J276" s="9"/>
      <c r="K276" s="9">
        <v>0</v>
      </c>
      <c r="L276" s="9"/>
      <c r="M276" s="9">
        <v>0</v>
      </c>
      <c r="N276" s="9"/>
      <c r="O276" s="9">
        <v>0</v>
      </c>
      <c r="P276" s="9"/>
      <c r="Q276" s="9">
        <v>107305</v>
      </c>
      <c r="R276" s="9"/>
      <c r="S276" s="9">
        <v>0</v>
      </c>
      <c r="T276" s="9"/>
      <c r="U276" s="9">
        <v>0</v>
      </c>
      <c r="V276" s="9"/>
      <c r="W276" s="9">
        <v>250000</v>
      </c>
      <c r="Y276" s="3">
        <v>0</v>
      </c>
      <c r="AA276" s="3">
        <v>0</v>
      </c>
      <c r="AB276" s="9"/>
      <c r="AC276" s="9">
        <f t="shared" si="9"/>
        <v>6315866</v>
      </c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</row>
    <row r="277" spans="1:29" s="3" customFormat="1" ht="12">
      <c r="A277" s="3" t="s">
        <v>223</v>
      </c>
      <c r="C277" s="3" t="s">
        <v>182</v>
      </c>
      <c r="E277" s="3">
        <v>362974.74</v>
      </c>
      <c r="G277" s="3">
        <v>62073.6</v>
      </c>
      <c r="I277" s="3">
        <v>92901.18</v>
      </c>
      <c r="K277" s="3">
        <v>114681.05</v>
      </c>
      <c r="M277" s="3">
        <v>11059.04</v>
      </c>
      <c r="O277" s="3">
        <v>7010.8</v>
      </c>
      <c r="Q277" s="3">
        <v>31101.52</v>
      </c>
      <c r="S277" s="3">
        <v>0</v>
      </c>
      <c r="U277" s="3">
        <v>0</v>
      </c>
      <c r="W277" s="3">
        <v>0</v>
      </c>
      <c r="Y277" s="3">
        <v>0</v>
      </c>
      <c r="AA277" s="3">
        <v>0</v>
      </c>
      <c r="AC277" s="3">
        <f t="shared" si="9"/>
        <v>681801.93</v>
      </c>
    </row>
    <row r="278" spans="1:29" s="3" customFormat="1" ht="12">
      <c r="A278" s="3" t="s">
        <v>224</v>
      </c>
      <c r="C278" s="3" t="s">
        <v>56</v>
      </c>
      <c r="E278" s="3">
        <v>248820.64</v>
      </c>
      <c r="G278" s="3">
        <v>62066.6</v>
      </c>
      <c r="I278" s="3">
        <v>76540.81</v>
      </c>
      <c r="K278" s="3">
        <v>69337.93</v>
      </c>
      <c r="M278" s="3">
        <v>6575.09</v>
      </c>
      <c r="O278" s="3">
        <v>1522.14</v>
      </c>
      <c r="Q278" s="3">
        <v>4955.47</v>
      </c>
      <c r="S278" s="3">
        <v>0</v>
      </c>
      <c r="U278" s="3">
        <v>0</v>
      </c>
      <c r="W278" s="3">
        <v>0</v>
      </c>
      <c r="Y278" s="3">
        <v>0</v>
      </c>
      <c r="AA278" s="3">
        <v>0</v>
      </c>
      <c r="AC278" s="3">
        <f t="shared" si="9"/>
        <v>469818.68</v>
      </c>
    </row>
    <row r="279" spans="1:29" s="3" customFormat="1" ht="12">
      <c r="A279" s="3" t="s">
        <v>225</v>
      </c>
      <c r="C279" s="3" t="s">
        <v>26</v>
      </c>
      <c r="E279" s="3">
        <v>426921.79</v>
      </c>
      <c r="G279" s="3">
        <v>129448.72</v>
      </c>
      <c r="I279" s="3">
        <v>78849.3</v>
      </c>
      <c r="K279" s="3">
        <v>129134.08</v>
      </c>
      <c r="M279" s="3">
        <v>10323.06</v>
      </c>
      <c r="O279" s="3">
        <v>25285.96</v>
      </c>
      <c r="Q279" s="3">
        <v>18333.45</v>
      </c>
      <c r="S279" s="3">
        <v>0</v>
      </c>
      <c r="U279" s="3">
        <v>0</v>
      </c>
      <c r="W279" s="3">
        <v>0</v>
      </c>
      <c r="Y279" s="3">
        <v>0</v>
      </c>
      <c r="AA279" s="3">
        <v>0</v>
      </c>
      <c r="AC279" s="3">
        <f t="shared" si="9"/>
        <v>818296.36</v>
      </c>
    </row>
    <row r="280" spans="1:29" s="3" customFormat="1" ht="12">
      <c r="A280" s="3" t="s">
        <v>226</v>
      </c>
      <c r="C280" s="3" t="s">
        <v>66</v>
      </c>
      <c r="E280" s="3">
        <v>118299.59</v>
      </c>
      <c r="G280" s="3">
        <v>18109.96</v>
      </c>
      <c r="I280" s="3">
        <v>42832.61</v>
      </c>
      <c r="K280" s="3">
        <v>62917.08</v>
      </c>
      <c r="M280" s="3">
        <v>9441.84</v>
      </c>
      <c r="O280" s="3">
        <v>3689.35</v>
      </c>
      <c r="Q280" s="3">
        <v>3855.51</v>
      </c>
      <c r="S280" s="3">
        <v>0</v>
      </c>
      <c r="U280" s="3">
        <v>0</v>
      </c>
      <c r="W280" s="3">
        <v>0</v>
      </c>
      <c r="Y280" s="3">
        <v>0</v>
      </c>
      <c r="AA280" s="3">
        <v>0</v>
      </c>
      <c r="AC280" s="3">
        <f t="shared" si="9"/>
        <v>259145.94</v>
      </c>
    </row>
    <row r="281" spans="1:29" s="3" customFormat="1" ht="12">
      <c r="A281" s="3" t="s">
        <v>608</v>
      </c>
      <c r="C281" s="3" t="s">
        <v>67</v>
      </c>
      <c r="E281" s="3">
        <v>248296.8</v>
      </c>
      <c r="G281" s="3">
        <v>94189.15</v>
      </c>
      <c r="I281" s="3">
        <v>96191.56</v>
      </c>
      <c r="K281" s="3">
        <v>95841.07</v>
      </c>
      <c r="M281" s="3">
        <v>12916.27</v>
      </c>
      <c r="O281" s="3">
        <v>14401</v>
      </c>
      <c r="Q281" s="3">
        <v>31471.54</v>
      </c>
      <c r="S281" s="3">
        <v>0</v>
      </c>
      <c r="U281" s="3">
        <v>0</v>
      </c>
      <c r="W281" s="3">
        <v>0</v>
      </c>
      <c r="Y281" s="3">
        <v>0</v>
      </c>
      <c r="AA281" s="3">
        <v>0</v>
      </c>
      <c r="AC281" s="3">
        <f t="shared" si="9"/>
        <v>593307.39</v>
      </c>
    </row>
    <row r="282" spans="1:54" s="3" customFormat="1" ht="12">
      <c r="A282" s="9" t="s">
        <v>228</v>
      </c>
      <c r="B282" s="9"/>
      <c r="C282" s="9" t="s">
        <v>95</v>
      </c>
      <c r="D282" s="9"/>
      <c r="E282" s="9">
        <v>73534</v>
      </c>
      <c r="F282" s="9"/>
      <c r="G282" s="9">
        <v>11007</v>
      </c>
      <c r="H282" s="9"/>
      <c r="I282" s="9">
        <v>29209</v>
      </c>
      <c r="J282" s="9"/>
      <c r="K282" s="9">
        <v>17082</v>
      </c>
      <c r="L282" s="9"/>
      <c r="M282" s="9">
        <v>5921</v>
      </c>
      <c r="N282" s="9"/>
      <c r="O282" s="9">
        <v>2330</v>
      </c>
      <c r="Q282" s="3">
        <v>2181</v>
      </c>
      <c r="S282" s="3">
        <v>0</v>
      </c>
      <c r="U282" s="3">
        <v>0</v>
      </c>
      <c r="W282" s="3">
        <v>0</v>
      </c>
      <c r="Y282" s="3">
        <v>0</v>
      </c>
      <c r="AA282" s="3">
        <v>0</v>
      </c>
      <c r="AB282" s="9"/>
      <c r="AC282" s="9">
        <f t="shared" si="9"/>
        <v>141264</v>
      </c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</row>
    <row r="283" spans="1:54" s="3" customFormat="1" ht="12">
      <c r="A283" s="9" t="s">
        <v>229</v>
      </c>
      <c r="B283" s="9"/>
      <c r="C283" s="9" t="s">
        <v>230</v>
      </c>
      <c r="D283" s="9"/>
      <c r="E283" s="9">
        <v>116900</v>
      </c>
      <c r="F283" s="9"/>
      <c r="G283" s="9">
        <v>18296</v>
      </c>
      <c r="H283" s="9"/>
      <c r="I283" s="9">
        <v>47163</v>
      </c>
      <c r="J283" s="9"/>
      <c r="K283" s="9">
        <f>87+48110</f>
        <v>48197</v>
      </c>
      <c r="L283" s="9"/>
      <c r="M283" s="9">
        <v>9964</v>
      </c>
      <c r="N283" s="9"/>
      <c r="O283" s="9">
        <f>911+4388</f>
        <v>5299</v>
      </c>
      <c r="P283" s="9"/>
      <c r="Q283" s="9">
        <v>6603</v>
      </c>
      <c r="S283" s="3">
        <v>0</v>
      </c>
      <c r="U283" s="3">
        <v>0</v>
      </c>
      <c r="W283" s="3">
        <v>0</v>
      </c>
      <c r="Y283" s="3">
        <v>0</v>
      </c>
      <c r="AA283" s="3">
        <v>0</v>
      </c>
      <c r="AB283" s="9"/>
      <c r="AC283" s="9">
        <f t="shared" si="9"/>
        <v>252422</v>
      </c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</row>
    <row r="284" spans="1:54" s="3" customFormat="1" ht="12">
      <c r="A284" s="9" t="s">
        <v>231</v>
      </c>
      <c r="B284" s="9"/>
      <c r="C284" s="9" t="s">
        <v>16</v>
      </c>
      <c r="D284" s="9"/>
      <c r="E284" s="9">
        <v>1256321</v>
      </c>
      <c r="F284" s="9"/>
      <c r="G284" s="9">
        <v>368529</v>
      </c>
      <c r="H284" s="9"/>
      <c r="I284" s="9">
        <v>395215</v>
      </c>
      <c r="J284" s="9"/>
      <c r="K284" s="9">
        <v>593360</v>
      </c>
      <c r="L284" s="9"/>
      <c r="M284" s="9">
        <v>61662</v>
      </c>
      <c r="N284" s="9"/>
      <c r="O284" s="9">
        <v>12346</v>
      </c>
      <c r="P284" s="9"/>
      <c r="Q284" s="9">
        <v>40198</v>
      </c>
      <c r="R284" s="9"/>
      <c r="S284" s="9">
        <v>455000</v>
      </c>
      <c r="T284" s="9"/>
      <c r="U284" s="9">
        <v>430395</v>
      </c>
      <c r="V284" s="9"/>
      <c r="W284" s="9">
        <v>1894752</v>
      </c>
      <c r="Y284" s="3">
        <v>0</v>
      </c>
      <c r="AA284" s="3">
        <v>0</v>
      </c>
      <c r="AB284" s="9"/>
      <c r="AC284" s="9">
        <f t="shared" si="9"/>
        <v>5507778</v>
      </c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</row>
    <row r="285" spans="1:54" s="3" customFormat="1" ht="12">
      <c r="A285" s="9" t="s">
        <v>232</v>
      </c>
      <c r="B285" s="9"/>
      <c r="C285" s="9" t="s">
        <v>71</v>
      </c>
      <c r="D285" s="9"/>
      <c r="E285" s="9">
        <v>190795</v>
      </c>
      <c r="F285" s="9"/>
      <c r="G285" s="9">
        <v>35210</v>
      </c>
      <c r="H285" s="9"/>
      <c r="I285" s="9">
        <f>25747+92166</f>
        <v>117913</v>
      </c>
      <c r="J285" s="9"/>
      <c r="K285" s="9">
        <v>55540</v>
      </c>
      <c r="L285" s="9"/>
      <c r="M285" s="9">
        <v>6209</v>
      </c>
      <c r="N285" s="9"/>
      <c r="O285" s="9">
        <v>4238</v>
      </c>
      <c r="P285" s="9"/>
      <c r="Q285" s="9">
        <v>9722</v>
      </c>
      <c r="R285" s="9"/>
      <c r="S285" s="9">
        <v>0</v>
      </c>
      <c r="T285" s="9"/>
      <c r="U285" s="9">
        <v>0</v>
      </c>
      <c r="V285" s="9"/>
      <c r="W285" s="9">
        <v>0</v>
      </c>
      <c r="X285" s="9"/>
      <c r="Y285" s="9">
        <v>0</v>
      </c>
      <c r="Z285" s="9"/>
      <c r="AA285" s="9">
        <v>0</v>
      </c>
      <c r="AB285" s="9"/>
      <c r="AC285" s="9">
        <f t="shared" si="9"/>
        <v>419627</v>
      </c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</row>
    <row r="286" spans="1:29" s="3" customFormat="1" ht="12">
      <c r="A286" s="3" t="s">
        <v>233</v>
      </c>
      <c r="C286" s="3" t="s">
        <v>13</v>
      </c>
      <c r="E286" s="3">
        <v>122146.57</v>
      </c>
      <c r="G286" s="3">
        <v>34821.84</v>
      </c>
      <c r="I286" s="3">
        <v>56239.61</v>
      </c>
      <c r="K286" s="3">
        <v>43053.29</v>
      </c>
      <c r="M286" s="3">
        <v>6745.68</v>
      </c>
      <c r="O286" s="3">
        <v>6346.64</v>
      </c>
      <c r="Q286" s="3">
        <v>13.64</v>
      </c>
      <c r="S286" s="3">
        <v>0</v>
      </c>
      <c r="U286" s="3">
        <v>0</v>
      </c>
      <c r="W286" s="3">
        <v>0</v>
      </c>
      <c r="Y286" s="3">
        <v>0</v>
      </c>
      <c r="AA286" s="3">
        <v>0</v>
      </c>
      <c r="AC286" s="3">
        <f t="shared" si="9"/>
        <v>269367.2700000001</v>
      </c>
    </row>
    <row r="287" spans="1:54" s="3" customFormat="1" ht="12">
      <c r="A287" s="9" t="s">
        <v>487</v>
      </c>
      <c r="B287" s="9"/>
      <c r="C287" s="9" t="s">
        <v>17</v>
      </c>
      <c r="D287" s="9"/>
      <c r="E287" s="9">
        <v>0</v>
      </c>
      <c r="F287" s="9"/>
      <c r="G287" s="9">
        <v>0</v>
      </c>
      <c r="H287" s="9"/>
      <c r="I287" s="9">
        <v>0</v>
      </c>
      <c r="J287" s="9"/>
      <c r="K287" s="9">
        <v>1906045</v>
      </c>
      <c r="L287" s="9"/>
      <c r="M287" s="9">
        <v>0</v>
      </c>
      <c r="N287" s="9"/>
      <c r="O287" s="9">
        <v>0</v>
      </c>
      <c r="P287" s="9"/>
      <c r="Q287" s="9">
        <v>28299</v>
      </c>
      <c r="R287" s="9"/>
      <c r="S287" s="9">
        <v>233245</v>
      </c>
      <c r="T287" s="9"/>
      <c r="U287" s="9">
        <v>0</v>
      </c>
      <c r="V287" s="9"/>
      <c r="W287" s="9">
        <v>30058</v>
      </c>
      <c r="Y287" s="3">
        <v>0</v>
      </c>
      <c r="AA287" s="3">
        <v>0</v>
      </c>
      <c r="AB287" s="9"/>
      <c r="AC287" s="9">
        <f t="shared" si="9"/>
        <v>2197647</v>
      </c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</row>
    <row r="288" spans="1:54" s="3" customFormat="1" ht="12">
      <c r="A288" s="9" t="s">
        <v>234</v>
      </c>
      <c r="B288" s="9"/>
      <c r="C288" s="9" t="s">
        <v>235</v>
      </c>
      <c r="D288" s="9"/>
      <c r="E288" s="9">
        <v>0</v>
      </c>
      <c r="F288" s="9"/>
      <c r="G288" s="9">
        <v>0</v>
      </c>
      <c r="H288" s="9"/>
      <c r="I288" s="9">
        <f>2274428+493383</f>
        <v>2767811</v>
      </c>
      <c r="J288" s="9"/>
      <c r="K288" s="9">
        <v>654991</v>
      </c>
      <c r="L288" s="9"/>
      <c r="M288" s="9">
        <v>0</v>
      </c>
      <c r="N288" s="9"/>
      <c r="O288" s="9">
        <v>0</v>
      </c>
      <c r="P288" s="9"/>
      <c r="Q288" s="9">
        <v>365627</v>
      </c>
      <c r="R288" s="9"/>
      <c r="S288" s="9">
        <v>0</v>
      </c>
      <c r="T288" s="9"/>
      <c r="U288" s="9">
        <v>0</v>
      </c>
      <c r="V288" s="9"/>
      <c r="W288" s="9">
        <v>70787</v>
      </c>
      <c r="Y288" s="3">
        <v>0</v>
      </c>
      <c r="AA288" s="3">
        <v>0</v>
      </c>
      <c r="AB288" s="9"/>
      <c r="AC288" s="9">
        <f t="shared" si="9"/>
        <v>3859216</v>
      </c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</row>
    <row r="289" spans="1:54" s="3" customFormat="1" ht="12">
      <c r="A289" s="9" t="s">
        <v>382</v>
      </c>
      <c r="B289" s="9"/>
      <c r="C289" s="9" t="s">
        <v>63</v>
      </c>
      <c r="D289" s="9"/>
      <c r="E289" s="9">
        <v>418328</v>
      </c>
      <c r="F289" s="9"/>
      <c r="G289" s="9">
        <v>137481</v>
      </c>
      <c r="H289" s="9"/>
      <c r="I289" s="9">
        <v>82896</v>
      </c>
      <c r="J289" s="9"/>
      <c r="K289" s="9">
        <f>580+144904</f>
        <v>145484</v>
      </c>
      <c r="L289" s="9"/>
      <c r="M289" s="9">
        <v>17268</v>
      </c>
      <c r="N289" s="9"/>
      <c r="O289" s="9">
        <v>6830</v>
      </c>
      <c r="P289" s="9"/>
      <c r="Q289" s="9">
        <f>4594+129267</f>
        <v>133861</v>
      </c>
      <c r="R289" s="9"/>
      <c r="S289" s="9">
        <v>0</v>
      </c>
      <c r="T289" s="9"/>
      <c r="U289" s="9">
        <v>0</v>
      </c>
      <c r="V289" s="9"/>
      <c r="W289" s="9">
        <v>100000</v>
      </c>
      <c r="Y289" s="3">
        <v>0</v>
      </c>
      <c r="AA289" s="3">
        <v>0</v>
      </c>
      <c r="AB289" s="9"/>
      <c r="AC289" s="9">
        <f t="shared" si="9"/>
        <v>1042148</v>
      </c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</row>
    <row r="290" spans="1:29" s="3" customFormat="1" ht="12">
      <c r="A290" s="3" t="s">
        <v>529</v>
      </c>
      <c r="C290" s="3" t="s">
        <v>237</v>
      </c>
      <c r="E290" s="3">
        <v>1270129.11</v>
      </c>
      <c r="G290" s="3">
        <v>409704.49</v>
      </c>
      <c r="I290" s="3">
        <v>277204.23</v>
      </c>
      <c r="K290" s="3">
        <v>292123.03</v>
      </c>
      <c r="M290" s="3">
        <v>53551.89</v>
      </c>
      <c r="O290" s="3">
        <v>10946.2</v>
      </c>
      <c r="Q290" s="3">
        <v>209433.08</v>
      </c>
      <c r="S290" s="3">
        <v>0</v>
      </c>
      <c r="U290" s="3">
        <v>0</v>
      </c>
      <c r="W290" s="3">
        <v>3367.4</v>
      </c>
      <c r="Y290" s="3">
        <v>0</v>
      </c>
      <c r="AA290" s="3">
        <v>0</v>
      </c>
      <c r="AC290" s="3">
        <f t="shared" si="9"/>
        <v>2526459.4300000006</v>
      </c>
    </row>
    <row r="291" spans="1:54" s="3" customFormat="1" ht="12">
      <c r="A291" s="9" t="s">
        <v>501</v>
      </c>
      <c r="B291" s="9"/>
      <c r="C291" s="9" t="s">
        <v>59</v>
      </c>
      <c r="D291" s="9"/>
      <c r="E291" s="9">
        <v>408289</v>
      </c>
      <c r="F291" s="9"/>
      <c r="G291" s="9">
        <v>0</v>
      </c>
      <c r="H291" s="9"/>
      <c r="I291" s="9">
        <v>1266212</v>
      </c>
      <c r="J291" s="9"/>
      <c r="K291" s="9">
        <v>114366</v>
      </c>
      <c r="L291" s="9"/>
      <c r="M291" s="9">
        <v>5835</v>
      </c>
      <c r="N291" s="9"/>
      <c r="O291" s="9">
        <v>11512</v>
      </c>
      <c r="P291" s="9"/>
      <c r="Q291" s="9">
        <v>355985</v>
      </c>
      <c r="R291" s="9"/>
      <c r="S291" s="9">
        <v>0</v>
      </c>
      <c r="T291" s="9"/>
      <c r="U291" s="9">
        <v>0</v>
      </c>
      <c r="V291" s="9"/>
      <c r="W291" s="9">
        <v>5134</v>
      </c>
      <c r="X291" s="9"/>
      <c r="Y291" s="9">
        <v>799829</v>
      </c>
      <c r="Z291" s="9"/>
      <c r="AA291" s="9">
        <v>0</v>
      </c>
      <c r="AB291" s="9"/>
      <c r="AC291" s="9">
        <f t="shared" si="9"/>
        <v>2967162</v>
      </c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</row>
    <row r="292" spans="1:29" s="3" customFormat="1" ht="12">
      <c r="A292" s="3" t="s">
        <v>530</v>
      </c>
      <c r="C292" s="3" t="s">
        <v>123</v>
      </c>
      <c r="E292" s="3">
        <v>342745.95</v>
      </c>
      <c r="G292" s="3">
        <v>90791.52</v>
      </c>
      <c r="I292" s="3">
        <v>64291.09</v>
      </c>
      <c r="K292" s="3">
        <v>65275.28</v>
      </c>
      <c r="M292" s="3">
        <v>20903.07</v>
      </c>
      <c r="O292" s="3">
        <v>25650.65</v>
      </c>
      <c r="Q292" s="3">
        <v>2740.55</v>
      </c>
      <c r="S292" s="3">
        <v>0</v>
      </c>
      <c r="U292" s="3">
        <v>0</v>
      </c>
      <c r="W292" s="3">
        <v>0</v>
      </c>
      <c r="Y292" s="3">
        <v>0</v>
      </c>
      <c r="AA292" s="3">
        <v>0</v>
      </c>
      <c r="AC292" s="3">
        <f t="shared" si="9"/>
        <v>612398.1100000001</v>
      </c>
    </row>
    <row r="293" spans="1:54" s="3" customFormat="1" ht="12">
      <c r="A293" s="9" t="s">
        <v>392</v>
      </c>
      <c r="B293" s="9"/>
      <c r="C293" s="9" t="s">
        <v>95</v>
      </c>
      <c r="D293" s="9"/>
      <c r="E293" s="9">
        <v>143456</v>
      </c>
      <c r="F293" s="9"/>
      <c r="G293" s="9">
        <f>16947+2507</f>
        <v>19454</v>
      </c>
      <c r="H293" s="9"/>
      <c r="I293" s="9">
        <v>49516</v>
      </c>
      <c r="J293" s="9"/>
      <c r="K293" s="9">
        <v>37415</v>
      </c>
      <c r="L293" s="9"/>
      <c r="M293" s="9">
        <v>11312</v>
      </c>
      <c r="N293" s="9"/>
      <c r="O293" s="9">
        <v>4033</v>
      </c>
      <c r="P293" s="9"/>
      <c r="Q293" s="9">
        <v>22518</v>
      </c>
      <c r="R293" s="9"/>
      <c r="S293" s="9">
        <v>0</v>
      </c>
      <c r="T293" s="9"/>
      <c r="U293" s="9">
        <v>0</v>
      </c>
      <c r="V293" s="9"/>
      <c r="W293" s="9">
        <v>0</v>
      </c>
      <c r="X293" s="9"/>
      <c r="Y293" s="9">
        <v>0</v>
      </c>
      <c r="Z293" s="9"/>
      <c r="AA293" s="9">
        <v>0</v>
      </c>
      <c r="AB293" s="9"/>
      <c r="AC293" s="9">
        <f t="shared" si="9"/>
        <v>287704</v>
      </c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</row>
    <row r="294" spans="1:29" s="3" customFormat="1" ht="12">
      <c r="A294" s="3" t="s">
        <v>239</v>
      </c>
      <c r="C294" s="3" t="s">
        <v>84</v>
      </c>
      <c r="E294" s="3">
        <v>188403.94</v>
      </c>
      <c r="G294" s="3">
        <v>40418.33</v>
      </c>
      <c r="I294" s="3">
        <v>59623.63</v>
      </c>
      <c r="K294" s="3">
        <v>40127.55</v>
      </c>
      <c r="M294" s="3">
        <v>5486.26</v>
      </c>
      <c r="O294" s="3">
        <v>1288.44</v>
      </c>
      <c r="Q294" s="3">
        <v>22968.09</v>
      </c>
      <c r="S294" s="3">
        <v>0</v>
      </c>
      <c r="U294" s="3">
        <v>0</v>
      </c>
      <c r="W294" s="3">
        <v>0</v>
      </c>
      <c r="Y294" s="3">
        <v>0</v>
      </c>
      <c r="AA294" s="3">
        <v>0</v>
      </c>
      <c r="AC294" s="3">
        <f t="shared" si="9"/>
        <v>358316.24000000005</v>
      </c>
    </row>
    <row r="295" spans="1:29" s="3" customFormat="1" ht="12">
      <c r="A295" s="3" t="s">
        <v>531</v>
      </c>
      <c r="C295" s="3" t="s">
        <v>69</v>
      </c>
      <c r="E295" s="3">
        <v>63944.17</v>
      </c>
      <c r="G295" s="3">
        <v>10136.33</v>
      </c>
      <c r="I295" s="3">
        <v>27891.17</v>
      </c>
      <c r="K295" s="3">
        <v>25619.58</v>
      </c>
      <c r="M295" s="3">
        <v>4103.18</v>
      </c>
      <c r="O295" s="3">
        <v>539</v>
      </c>
      <c r="Q295" s="3">
        <v>6308.37</v>
      </c>
      <c r="S295" s="3">
        <v>0</v>
      </c>
      <c r="U295" s="3">
        <v>0</v>
      </c>
      <c r="W295" s="3">
        <v>0</v>
      </c>
      <c r="Y295" s="3">
        <v>0</v>
      </c>
      <c r="AA295" s="3">
        <v>0</v>
      </c>
      <c r="AC295" s="3">
        <f t="shared" si="9"/>
        <v>138541.8</v>
      </c>
    </row>
    <row r="296" spans="1:54" s="3" customFormat="1" ht="12">
      <c r="A296" s="9" t="s">
        <v>502</v>
      </c>
      <c r="B296" s="9"/>
      <c r="C296" s="9" t="s">
        <v>44</v>
      </c>
      <c r="D296" s="9"/>
      <c r="E296" s="9">
        <v>2476520</v>
      </c>
      <c r="F296" s="9"/>
      <c r="G296" s="9">
        <v>776966</v>
      </c>
      <c r="H296" s="9"/>
      <c r="I296" s="9">
        <v>616000</v>
      </c>
      <c r="J296" s="9"/>
      <c r="K296" s="9">
        <v>602617</v>
      </c>
      <c r="L296" s="9"/>
      <c r="M296" s="9">
        <v>70897</v>
      </c>
      <c r="N296" s="9"/>
      <c r="O296" s="9">
        <v>12171</v>
      </c>
      <c r="P296" s="9"/>
      <c r="Q296" s="9">
        <v>107985</v>
      </c>
      <c r="R296" s="9"/>
      <c r="S296" s="9">
        <v>0</v>
      </c>
      <c r="T296" s="9"/>
      <c r="U296" s="9">
        <v>0</v>
      </c>
      <c r="V296" s="9"/>
      <c r="W296" s="9">
        <v>745000</v>
      </c>
      <c r="X296" s="9"/>
      <c r="Y296" s="9">
        <v>0</v>
      </c>
      <c r="Z296" s="9"/>
      <c r="AA296" s="9">
        <v>0</v>
      </c>
      <c r="AB296" s="9"/>
      <c r="AC296" s="9">
        <f t="shared" si="9"/>
        <v>5408156</v>
      </c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</row>
    <row r="297" spans="1:29" s="3" customFormat="1" ht="12">
      <c r="A297" s="3" t="s">
        <v>241</v>
      </c>
      <c r="C297" s="3" t="s">
        <v>27</v>
      </c>
      <c r="E297" s="3">
        <v>164174.68</v>
      </c>
      <c r="G297" s="3">
        <v>45255.72</v>
      </c>
      <c r="I297" s="3">
        <v>81175.52</v>
      </c>
      <c r="K297" s="3">
        <v>63056.88</v>
      </c>
      <c r="M297" s="3">
        <v>20990.18</v>
      </c>
      <c r="O297" s="3">
        <v>3794.23</v>
      </c>
      <c r="Q297" s="3">
        <v>72225.82</v>
      </c>
      <c r="S297" s="3">
        <v>10000</v>
      </c>
      <c r="U297" s="3">
        <v>13784.83</v>
      </c>
      <c r="W297" s="3">
        <v>43507.94</v>
      </c>
      <c r="Y297" s="3">
        <v>0</v>
      </c>
      <c r="AA297" s="3">
        <v>0</v>
      </c>
      <c r="AC297" s="3">
        <f t="shared" si="9"/>
        <v>517965.8</v>
      </c>
    </row>
    <row r="298" spans="1:54" s="3" customFormat="1" ht="12">
      <c r="A298" s="9" t="s">
        <v>242</v>
      </c>
      <c r="B298" s="9"/>
      <c r="C298" s="9" t="s">
        <v>59</v>
      </c>
      <c r="D298" s="9"/>
      <c r="E298" s="9">
        <v>378057</v>
      </c>
      <c r="F298" s="9"/>
      <c r="G298" s="9">
        <v>162172</v>
      </c>
      <c r="H298" s="9"/>
      <c r="I298" s="9">
        <v>81733</v>
      </c>
      <c r="J298" s="9"/>
      <c r="K298" s="9">
        <v>82593</v>
      </c>
      <c r="L298" s="9"/>
      <c r="M298" s="9">
        <v>18669</v>
      </c>
      <c r="N298" s="9"/>
      <c r="O298" s="9">
        <v>7602</v>
      </c>
      <c r="P298" s="9"/>
      <c r="Q298" s="9">
        <v>20874</v>
      </c>
      <c r="R298" s="9"/>
      <c r="S298" s="9">
        <v>0</v>
      </c>
      <c r="T298" s="9"/>
      <c r="U298" s="9">
        <v>0</v>
      </c>
      <c r="V298" s="9"/>
      <c r="W298" s="9">
        <v>60000</v>
      </c>
      <c r="Y298" s="3">
        <v>0</v>
      </c>
      <c r="AA298" s="3">
        <v>0</v>
      </c>
      <c r="AB298" s="9"/>
      <c r="AC298" s="9">
        <f t="shared" si="9"/>
        <v>811700</v>
      </c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</row>
    <row r="299" spans="1:29" s="3" customFormat="1" ht="12">
      <c r="A299" s="3" t="s">
        <v>245</v>
      </c>
      <c r="C299" s="3" t="s">
        <v>45</v>
      </c>
      <c r="E299" s="3">
        <v>99320.13</v>
      </c>
      <c r="G299" s="3">
        <v>17247.81</v>
      </c>
      <c r="I299" s="3">
        <v>30914.77</v>
      </c>
      <c r="K299" s="3">
        <v>23285.31</v>
      </c>
      <c r="M299" s="3">
        <v>5949.59</v>
      </c>
      <c r="O299" s="3">
        <v>387</v>
      </c>
      <c r="Q299" s="3">
        <v>8680.88</v>
      </c>
      <c r="S299" s="3">
        <v>0</v>
      </c>
      <c r="U299" s="3">
        <v>0</v>
      </c>
      <c r="W299" s="3">
        <v>0</v>
      </c>
      <c r="Y299" s="3">
        <v>0</v>
      </c>
      <c r="AA299" s="3">
        <v>0</v>
      </c>
      <c r="AC299" s="3">
        <f t="shared" si="9"/>
        <v>185785.49</v>
      </c>
    </row>
    <row r="300" spans="1:29" s="3" customFormat="1" ht="12">
      <c r="A300" s="3" t="s">
        <v>246</v>
      </c>
      <c r="C300" s="3" t="s">
        <v>68</v>
      </c>
      <c r="E300" s="3">
        <v>244665.88</v>
      </c>
      <c r="G300" s="3">
        <v>88135.38</v>
      </c>
      <c r="I300" s="3">
        <v>53295.29</v>
      </c>
      <c r="K300" s="3">
        <v>45855.19</v>
      </c>
      <c r="M300" s="3">
        <v>10068.8</v>
      </c>
      <c r="O300" s="3">
        <v>4102.59</v>
      </c>
      <c r="Q300" s="3">
        <v>4738.12</v>
      </c>
      <c r="S300" s="3">
        <v>0</v>
      </c>
      <c r="U300" s="3">
        <v>0</v>
      </c>
      <c r="W300" s="3">
        <v>20500</v>
      </c>
      <c r="Y300" s="3">
        <v>0</v>
      </c>
      <c r="AA300" s="3">
        <v>0</v>
      </c>
      <c r="AC300" s="3">
        <f t="shared" si="9"/>
        <v>471361.25</v>
      </c>
    </row>
    <row r="301" spans="1:54" s="3" customFormat="1" ht="12">
      <c r="A301" s="9" t="s">
        <v>247</v>
      </c>
      <c r="B301" s="9"/>
      <c r="C301" s="9" t="s">
        <v>26</v>
      </c>
      <c r="D301" s="9"/>
      <c r="E301" s="9">
        <v>305865</v>
      </c>
      <c r="F301" s="9"/>
      <c r="G301" s="9">
        <v>0</v>
      </c>
      <c r="H301" s="9"/>
      <c r="I301" s="9">
        <f>1844100-70013-305865</f>
        <v>1468222</v>
      </c>
      <c r="J301" s="9"/>
      <c r="K301" s="9">
        <v>0</v>
      </c>
      <c r="L301" s="9"/>
      <c r="M301" s="9">
        <v>0</v>
      </c>
      <c r="N301" s="9"/>
      <c r="O301" s="9">
        <v>0</v>
      </c>
      <c r="P301" s="9"/>
      <c r="Q301" s="9">
        <v>70013</v>
      </c>
      <c r="R301" s="9"/>
      <c r="S301" s="9">
        <v>0</v>
      </c>
      <c r="T301" s="9"/>
      <c r="U301" s="9">
        <v>0</v>
      </c>
      <c r="V301" s="9"/>
      <c r="W301" s="9">
        <v>85000</v>
      </c>
      <c r="Y301" s="3">
        <v>0</v>
      </c>
      <c r="AA301" s="3">
        <v>0</v>
      </c>
      <c r="AB301" s="9"/>
      <c r="AC301" s="9">
        <f t="shared" si="9"/>
        <v>1929100</v>
      </c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</row>
    <row r="302" spans="1:54" s="3" customFormat="1" ht="12">
      <c r="A302" s="9" t="s">
        <v>503</v>
      </c>
      <c r="B302" s="9"/>
      <c r="C302" s="9" t="s">
        <v>68</v>
      </c>
      <c r="D302" s="9"/>
      <c r="E302" s="9">
        <v>155076</v>
      </c>
      <c r="F302" s="9"/>
      <c r="G302" s="9">
        <v>38979</v>
      </c>
      <c r="H302" s="9"/>
      <c r="I302" s="9">
        <v>136291</v>
      </c>
      <c r="J302" s="9"/>
      <c r="K302" s="9">
        <v>51473</v>
      </c>
      <c r="L302" s="9"/>
      <c r="M302" s="9">
        <v>8187</v>
      </c>
      <c r="N302" s="9"/>
      <c r="O302" s="9">
        <v>1988</v>
      </c>
      <c r="P302" s="9"/>
      <c r="Q302" s="9">
        <v>31546</v>
      </c>
      <c r="R302" s="9"/>
      <c r="S302" s="9">
        <v>0</v>
      </c>
      <c r="U302" s="3">
        <v>0</v>
      </c>
      <c r="W302" s="3">
        <v>10201</v>
      </c>
      <c r="Y302" s="3">
        <v>0</v>
      </c>
      <c r="AA302" s="3">
        <v>0</v>
      </c>
      <c r="AB302" s="9"/>
      <c r="AC302" s="9">
        <f aca="true" t="shared" si="10" ref="AC302:AC338">SUM(E302:AA302)</f>
        <v>433741</v>
      </c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</row>
    <row r="303" spans="1:29" s="3" customFormat="1" ht="12">
      <c r="A303" s="3" t="s">
        <v>248</v>
      </c>
      <c r="C303" s="3" t="s">
        <v>95</v>
      </c>
      <c r="E303" s="3">
        <v>522953.92</v>
      </c>
      <c r="G303" s="3">
        <v>149350.19</v>
      </c>
      <c r="I303" s="3">
        <v>133737.63</v>
      </c>
      <c r="K303" s="3">
        <v>81491.41</v>
      </c>
      <c r="M303" s="3">
        <v>14160.52</v>
      </c>
      <c r="O303" s="3">
        <v>4855.87</v>
      </c>
      <c r="Q303" s="3">
        <v>28554.78</v>
      </c>
      <c r="S303" s="3">
        <v>26043.21</v>
      </c>
      <c r="U303" s="3">
        <v>3261.27</v>
      </c>
      <c r="W303" s="3">
        <v>29304.48</v>
      </c>
      <c r="Y303" s="3">
        <v>0</v>
      </c>
      <c r="AA303" s="3">
        <v>0</v>
      </c>
      <c r="AC303" s="3">
        <f t="shared" si="10"/>
        <v>993713.28</v>
      </c>
    </row>
    <row r="304" spans="1:54" s="3" customFormat="1" ht="12">
      <c r="A304" s="9" t="s">
        <v>249</v>
      </c>
      <c r="B304" s="9"/>
      <c r="C304" s="9" t="s">
        <v>172</v>
      </c>
      <c r="D304" s="9"/>
      <c r="E304" s="9">
        <v>148275</v>
      </c>
      <c r="F304" s="9"/>
      <c r="G304" s="9">
        <v>44655</v>
      </c>
      <c r="H304" s="9"/>
      <c r="I304" s="9">
        <v>62653</v>
      </c>
      <c r="J304" s="9"/>
      <c r="K304" s="9">
        <v>60516</v>
      </c>
      <c r="L304" s="9"/>
      <c r="M304" s="9">
        <v>12411</v>
      </c>
      <c r="N304" s="9"/>
      <c r="O304" s="9">
        <v>3118</v>
      </c>
      <c r="P304" s="9"/>
      <c r="Q304" s="9">
        <v>9122</v>
      </c>
      <c r="R304" s="9"/>
      <c r="S304" s="3">
        <v>0</v>
      </c>
      <c r="U304" s="3">
        <v>0</v>
      </c>
      <c r="W304" s="3">
        <v>0</v>
      </c>
      <c r="Y304" s="3">
        <v>0</v>
      </c>
      <c r="AA304" s="3">
        <v>0</v>
      </c>
      <c r="AB304" s="9"/>
      <c r="AC304" s="9">
        <f t="shared" si="10"/>
        <v>340750</v>
      </c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</row>
    <row r="305" spans="1:54" s="3" customFormat="1" ht="12">
      <c r="A305" s="9" t="s">
        <v>250</v>
      </c>
      <c r="B305" s="9"/>
      <c r="C305" s="9" t="s">
        <v>186</v>
      </c>
      <c r="D305" s="9"/>
      <c r="E305" s="9">
        <v>132398</v>
      </c>
      <c r="F305" s="9"/>
      <c r="G305" s="9">
        <v>362</v>
      </c>
      <c r="H305" s="9"/>
      <c r="I305" s="9">
        <v>61190</v>
      </c>
      <c r="J305" s="9"/>
      <c r="K305" s="9">
        <v>33303</v>
      </c>
      <c r="L305" s="9"/>
      <c r="M305" s="9">
        <v>4718</v>
      </c>
      <c r="N305" s="9"/>
      <c r="O305" s="9">
        <v>2260</v>
      </c>
      <c r="P305" s="9"/>
      <c r="Q305" s="9">
        <v>20786</v>
      </c>
      <c r="S305" s="3">
        <v>0</v>
      </c>
      <c r="U305" s="3">
        <v>0</v>
      </c>
      <c r="W305" s="3">
        <v>0</v>
      </c>
      <c r="Y305" s="3">
        <v>0</v>
      </c>
      <c r="AA305" s="3">
        <v>0</v>
      </c>
      <c r="AB305" s="9"/>
      <c r="AC305" s="9">
        <f t="shared" si="10"/>
        <v>255017</v>
      </c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</row>
    <row r="306" spans="1:29" s="3" customFormat="1" ht="12">
      <c r="A306" s="3" t="s">
        <v>532</v>
      </c>
      <c r="C306" s="3" t="s">
        <v>60</v>
      </c>
      <c r="E306" s="3">
        <v>508268.5</v>
      </c>
      <c r="G306" s="3">
        <v>155047.88</v>
      </c>
      <c r="I306" s="3">
        <v>182799.35</v>
      </c>
      <c r="K306" s="3">
        <v>219696.08</v>
      </c>
      <c r="M306" s="3">
        <v>18631.48</v>
      </c>
      <c r="O306" s="3">
        <v>2108.31</v>
      </c>
      <c r="Q306" s="3">
        <v>36254.77</v>
      </c>
      <c r="S306" s="3">
        <v>0</v>
      </c>
      <c r="U306" s="3">
        <v>0</v>
      </c>
      <c r="W306" s="3">
        <v>0</v>
      </c>
      <c r="Y306" s="3">
        <v>0</v>
      </c>
      <c r="AA306" s="3">
        <v>0</v>
      </c>
      <c r="AC306" s="3">
        <f t="shared" si="10"/>
        <v>1122806.37</v>
      </c>
    </row>
    <row r="307" spans="1:54" s="3" customFormat="1" ht="12">
      <c r="A307" s="9" t="s">
        <v>253</v>
      </c>
      <c r="B307" s="9"/>
      <c r="C307" s="9" t="s">
        <v>254</v>
      </c>
      <c r="D307" s="9"/>
      <c r="E307" s="9">
        <v>368433</v>
      </c>
      <c r="F307" s="9"/>
      <c r="G307" s="9">
        <v>265281</v>
      </c>
      <c r="H307" s="9"/>
      <c r="I307" s="9">
        <v>144180</v>
      </c>
      <c r="J307" s="9"/>
      <c r="K307" s="9">
        <f>162+208968</f>
        <v>209130</v>
      </c>
      <c r="L307" s="9"/>
      <c r="M307" s="9">
        <v>21130</v>
      </c>
      <c r="N307" s="9"/>
      <c r="O307" s="9">
        <v>5529</v>
      </c>
      <c r="P307" s="9"/>
      <c r="Q307" s="9">
        <v>72643</v>
      </c>
      <c r="R307" s="9"/>
      <c r="S307" s="9">
        <v>0</v>
      </c>
      <c r="T307" s="9"/>
      <c r="U307" s="3">
        <v>0</v>
      </c>
      <c r="W307" s="3">
        <v>0</v>
      </c>
      <c r="Y307" s="3">
        <v>14955</v>
      </c>
      <c r="AA307" s="3">
        <v>0</v>
      </c>
      <c r="AB307" s="9"/>
      <c r="AC307" s="9">
        <f t="shared" si="10"/>
        <v>1101281</v>
      </c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</row>
    <row r="308" spans="1:29" s="3" customFormat="1" ht="12">
      <c r="A308" s="3" t="s">
        <v>255</v>
      </c>
      <c r="C308" s="3" t="s">
        <v>44</v>
      </c>
      <c r="E308" s="3">
        <v>393090.97</v>
      </c>
      <c r="G308" s="3">
        <v>100177.13</v>
      </c>
      <c r="I308" s="3">
        <v>42373.57</v>
      </c>
      <c r="K308" s="3">
        <v>140703.76</v>
      </c>
      <c r="M308" s="3">
        <v>17006.5</v>
      </c>
      <c r="O308" s="3">
        <v>2307.79</v>
      </c>
      <c r="Q308" s="3">
        <v>838.99</v>
      </c>
      <c r="S308" s="3">
        <v>0</v>
      </c>
      <c r="U308" s="3">
        <v>0</v>
      </c>
      <c r="W308" s="3">
        <v>0</v>
      </c>
      <c r="Y308" s="3">
        <v>0</v>
      </c>
      <c r="AA308" s="3">
        <v>0</v>
      </c>
      <c r="AC308" s="3">
        <f t="shared" si="10"/>
        <v>696498.71</v>
      </c>
    </row>
    <row r="309" spans="1:29" s="3" customFormat="1" ht="12">
      <c r="A309" s="3" t="s">
        <v>533</v>
      </c>
      <c r="C309" s="3" t="s">
        <v>63</v>
      </c>
      <c r="E309" s="3">
        <v>150008.3</v>
      </c>
      <c r="G309" s="3">
        <v>23681.33</v>
      </c>
      <c r="I309" s="3">
        <v>30566.63</v>
      </c>
      <c r="K309" s="3">
        <v>37583.19</v>
      </c>
      <c r="M309" s="3">
        <v>9498.52</v>
      </c>
      <c r="O309" s="3">
        <v>3860.1</v>
      </c>
      <c r="Q309" s="3">
        <v>6904.83</v>
      </c>
      <c r="S309" s="3">
        <v>0</v>
      </c>
      <c r="U309" s="3">
        <v>0</v>
      </c>
      <c r="W309" s="3">
        <v>0</v>
      </c>
      <c r="Y309" s="3">
        <v>0</v>
      </c>
      <c r="AA309" s="3">
        <v>0</v>
      </c>
      <c r="AC309" s="3">
        <f t="shared" si="10"/>
        <v>262102.9</v>
      </c>
    </row>
    <row r="310" spans="1:54" s="3" customFormat="1" ht="12">
      <c r="A310" s="9" t="s">
        <v>257</v>
      </c>
      <c r="B310" s="9"/>
      <c r="C310" s="9" t="s">
        <v>258</v>
      </c>
      <c r="D310" s="9"/>
      <c r="E310" s="9">
        <v>480517</v>
      </c>
      <c r="F310" s="9"/>
      <c r="G310" s="9">
        <v>131999</v>
      </c>
      <c r="H310" s="9"/>
      <c r="I310" s="9">
        <v>123928</v>
      </c>
      <c r="J310" s="9"/>
      <c r="K310" s="9">
        <v>78885</v>
      </c>
      <c r="L310" s="9"/>
      <c r="M310" s="9">
        <v>24381</v>
      </c>
      <c r="N310" s="9"/>
      <c r="O310" s="9">
        <v>14715</v>
      </c>
      <c r="P310" s="9"/>
      <c r="Q310" s="9">
        <v>28186</v>
      </c>
      <c r="R310" s="9"/>
      <c r="S310" s="3">
        <v>0</v>
      </c>
      <c r="U310" s="3">
        <v>0</v>
      </c>
      <c r="W310" s="3">
        <v>0</v>
      </c>
      <c r="Y310" s="3">
        <v>0</v>
      </c>
      <c r="AA310" s="3">
        <v>0</v>
      </c>
      <c r="AB310" s="9"/>
      <c r="AC310" s="9">
        <f t="shared" si="10"/>
        <v>882611</v>
      </c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</row>
    <row r="311" spans="1:29" s="3" customFormat="1" ht="12">
      <c r="A311" s="3" t="s">
        <v>534</v>
      </c>
      <c r="C311" s="3" t="s">
        <v>68</v>
      </c>
      <c r="E311" s="3">
        <v>187604.46</v>
      </c>
      <c r="G311" s="3">
        <v>39537.71</v>
      </c>
      <c r="I311" s="3">
        <v>64416.22</v>
      </c>
      <c r="K311" s="3">
        <v>68199.94</v>
      </c>
      <c r="M311" s="3">
        <v>9260.8</v>
      </c>
      <c r="O311" s="3">
        <v>1526.1</v>
      </c>
      <c r="Q311" s="3">
        <v>253429.93</v>
      </c>
      <c r="S311" s="3">
        <v>88000</v>
      </c>
      <c r="U311" s="3">
        <v>17071.44</v>
      </c>
      <c r="W311" s="3">
        <v>38675.27</v>
      </c>
      <c r="Y311" s="3">
        <v>0</v>
      </c>
      <c r="AA311" s="3">
        <v>0</v>
      </c>
      <c r="AC311" s="3">
        <f t="shared" si="10"/>
        <v>767721.8699999999</v>
      </c>
    </row>
    <row r="312" spans="1:29" s="3" customFormat="1" ht="12">
      <c r="A312" s="3" t="s">
        <v>261</v>
      </c>
      <c r="C312" s="3" t="s">
        <v>23</v>
      </c>
      <c r="E312" s="3">
        <v>255972.92</v>
      </c>
      <c r="G312" s="3">
        <v>50034.96</v>
      </c>
      <c r="I312" s="3">
        <v>118220.22</v>
      </c>
      <c r="K312" s="3">
        <v>67162.15</v>
      </c>
      <c r="M312" s="3">
        <v>6404.92</v>
      </c>
      <c r="O312" s="3">
        <v>2492.05</v>
      </c>
      <c r="Q312" s="3">
        <v>9839.5</v>
      </c>
      <c r="S312" s="3">
        <v>0</v>
      </c>
      <c r="U312" s="3">
        <v>0</v>
      </c>
      <c r="W312" s="3">
        <v>40000</v>
      </c>
      <c r="Y312" s="3">
        <v>0</v>
      </c>
      <c r="AA312" s="3">
        <v>0</v>
      </c>
      <c r="AC312" s="3">
        <f t="shared" si="10"/>
        <v>550126.72</v>
      </c>
    </row>
    <row r="313" spans="1:29" s="3" customFormat="1" ht="12">
      <c r="A313" s="3" t="s">
        <v>588</v>
      </c>
      <c r="C313" s="3" t="s">
        <v>69</v>
      </c>
      <c r="E313" s="3">
        <v>587603.83</v>
      </c>
      <c r="G313" s="3">
        <v>123667.03</v>
      </c>
      <c r="I313" s="3">
        <v>297836.46</v>
      </c>
      <c r="K313" s="3">
        <v>171909.69</v>
      </c>
      <c r="M313" s="3">
        <v>49491.18</v>
      </c>
      <c r="O313" s="3">
        <v>34144.62</v>
      </c>
      <c r="Q313" s="3">
        <v>209997.07</v>
      </c>
      <c r="S313" s="3">
        <v>0</v>
      </c>
      <c r="U313" s="3">
        <v>0</v>
      </c>
      <c r="W313" s="3">
        <v>0</v>
      </c>
      <c r="Y313" s="3">
        <v>0</v>
      </c>
      <c r="AA313" s="3">
        <v>0</v>
      </c>
      <c r="AC313" s="3">
        <f t="shared" si="10"/>
        <v>1474649.8800000001</v>
      </c>
    </row>
    <row r="314" spans="1:54" s="3" customFormat="1" ht="12">
      <c r="A314" s="9" t="s">
        <v>263</v>
      </c>
      <c r="B314" s="9"/>
      <c r="C314" s="9" t="s">
        <v>71</v>
      </c>
      <c r="D314" s="9"/>
      <c r="E314" s="9">
        <v>83914</v>
      </c>
      <c r="F314" s="9"/>
      <c r="G314" s="9">
        <v>12856</v>
      </c>
      <c r="H314" s="9"/>
      <c r="I314" s="9">
        <v>34950</v>
      </c>
      <c r="J314" s="9"/>
      <c r="K314" s="9">
        <v>22356</v>
      </c>
      <c r="L314" s="9"/>
      <c r="M314" s="9">
        <v>6636</v>
      </c>
      <c r="N314" s="9"/>
      <c r="O314" s="9">
        <v>1137</v>
      </c>
      <c r="P314" s="9"/>
      <c r="Q314" s="9">
        <v>54931</v>
      </c>
      <c r="R314" s="9"/>
      <c r="S314" s="9">
        <v>0</v>
      </c>
      <c r="U314" s="3">
        <v>0</v>
      </c>
      <c r="W314" s="3">
        <v>0</v>
      </c>
      <c r="Y314" s="3">
        <v>0</v>
      </c>
      <c r="AA314" s="3">
        <v>0</v>
      </c>
      <c r="AB314" s="9"/>
      <c r="AC314" s="9">
        <f t="shared" si="10"/>
        <v>216780</v>
      </c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</row>
    <row r="315" spans="1:29" s="3" customFormat="1" ht="12">
      <c r="A315" s="3" t="s">
        <v>264</v>
      </c>
      <c r="C315" s="3" t="s">
        <v>16</v>
      </c>
      <c r="E315" s="3">
        <v>431967.18</v>
      </c>
      <c r="G315" s="3">
        <v>120921.84</v>
      </c>
      <c r="I315" s="3">
        <v>609386.04</v>
      </c>
      <c r="K315" s="3">
        <v>105680.01</v>
      </c>
      <c r="M315" s="3">
        <v>18008.07</v>
      </c>
      <c r="O315" s="3">
        <v>15592.76</v>
      </c>
      <c r="Q315" s="3">
        <v>1000047.75</v>
      </c>
      <c r="S315" s="3">
        <v>0</v>
      </c>
      <c r="U315" s="3">
        <v>0</v>
      </c>
      <c r="W315" s="3">
        <v>20000</v>
      </c>
      <c r="Y315" s="3">
        <v>0</v>
      </c>
      <c r="AA315" s="3">
        <v>18110.18</v>
      </c>
      <c r="AC315" s="3">
        <f t="shared" si="10"/>
        <v>2339713.8300000005</v>
      </c>
    </row>
    <row r="316" spans="1:54" s="3" customFormat="1" ht="12">
      <c r="A316" s="9" t="s">
        <v>265</v>
      </c>
      <c r="B316" s="9"/>
      <c r="C316" s="9" t="s">
        <v>266</v>
      </c>
      <c r="D316" s="9"/>
      <c r="E316" s="9">
        <f>633+833177</f>
        <v>833810</v>
      </c>
      <c r="F316" s="9"/>
      <c r="G316" s="9">
        <f>269+354487</f>
        <v>354756</v>
      </c>
      <c r="H316" s="9"/>
      <c r="I316" s="9">
        <f>229+301459</f>
        <v>301688</v>
      </c>
      <c r="J316" s="9"/>
      <c r="K316" s="9">
        <f>251+330193</f>
        <v>330444</v>
      </c>
      <c r="L316" s="9"/>
      <c r="M316" s="9">
        <f>41+54198</f>
        <v>54239</v>
      </c>
      <c r="N316" s="9"/>
      <c r="O316" s="9">
        <f>7+8788</f>
        <v>8795</v>
      </c>
      <c r="P316" s="9"/>
      <c r="Q316" s="9">
        <v>86430</v>
      </c>
      <c r="R316" s="9"/>
      <c r="S316" s="9">
        <v>0</v>
      </c>
      <c r="T316" s="9"/>
      <c r="U316" s="9">
        <v>0</v>
      </c>
      <c r="V316" s="9"/>
      <c r="W316" s="9">
        <v>0</v>
      </c>
      <c r="X316" s="9"/>
      <c r="Y316" s="9">
        <v>0</v>
      </c>
      <c r="Z316" s="9"/>
      <c r="AA316" s="3">
        <v>0</v>
      </c>
      <c r="AB316" s="9"/>
      <c r="AC316" s="9">
        <f t="shared" si="10"/>
        <v>1970162</v>
      </c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</row>
    <row r="317" spans="1:29" s="3" customFormat="1" ht="12">
      <c r="A317" s="3" t="s">
        <v>360</v>
      </c>
      <c r="C317" s="3" t="s">
        <v>70</v>
      </c>
      <c r="E317" s="3">
        <v>519318.92</v>
      </c>
      <c r="G317" s="3">
        <v>205060.77</v>
      </c>
      <c r="I317" s="3">
        <v>208036.34</v>
      </c>
      <c r="K317" s="3">
        <v>133517.89</v>
      </c>
      <c r="M317" s="3">
        <v>18281.45</v>
      </c>
      <c r="O317" s="3">
        <v>9176.43</v>
      </c>
      <c r="Q317" s="3">
        <v>12293.36</v>
      </c>
      <c r="S317" s="3">
        <v>0</v>
      </c>
      <c r="U317" s="3">
        <v>0</v>
      </c>
      <c r="W317" s="3">
        <v>0</v>
      </c>
      <c r="Y317" s="3">
        <v>0</v>
      </c>
      <c r="AA317" s="3">
        <v>0</v>
      </c>
      <c r="AC317" s="3">
        <f t="shared" si="10"/>
        <v>1105685.16</v>
      </c>
    </row>
    <row r="318" spans="1:29" s="3" customFormat="1" ht="12">
      <c r="A318" s="3" t="s">
        <v>268</v>
      </c>
      <c r="C318" s="3" t="s">
        <v>13</v>
      </c>
      <c r="E318" s="3">
        <v>262884.99</v>
      </c>
      <c r="G318" s="3">
        <v>51476.79</v>
      </c>
      <c r="I318" s="3">
        <v>59161.91</v>
      </c>
      <c r="K318" s="3">
        <v>64519.99</v>
      </c>
      <c r="M318" s="3">
        <v>6845.27</v>
      </c>
      <c r="O318" s="3">
        <v>26651.62</v>
      </c>
      <c r="Q318" s="3">
        <v>3876.05</v>
      </c>
      <c r="S318" s="3">
        <v>0</v>
      </c>
      <c r="U318" s="3">
        <v>0</v>
      </c>
      <c r="W318" s="3">
        <v>0</v>
      </c>
      <c r="Y318" s="3">
        <v>0</v>
      </c>
      <c r="AA318" s="3">
        <v>15.53</v>
      </c>
      <c r="AC318" s="3">
        <f t="shared" si="10"/>
        <v>475432.14999999997</v>
      </c>
    </row>
    <row r="319" spans="1:54" s="3" customFormat="1" ht="12">
      <c r="A319" s="9" t="s">
        <v>269</v>
      </c>
      <c r="B319" s="9"/>
      <c r="C319" s="9" t="s">
        <v>190</v>
      </c>
      <c r="D319" s="9"/>
      <c r="E319" s="9">
        <v>1484343</v>
      </c>
      <c r="F319" s="9"/>
      <c r="G319" s="9">
        <v>484334</v>
      </c>
      <c r="H319" s="9"/>
      <c r="I319" s="9">
        <v>310845</v>
      </c>
      <c r="J319" s="9"/>
      <c r="K319" s="9">
        <v>383053</v>
      </c>
      <c r="L319" s="9"/>
      <c r="M319" s="9">
        <v>55789</v>
      </c>
      <c r="N319" s="9"/>
      <c r="O319" s="9">
        <v>14979</v>
      </c>
      <c r="P319" s="9"/>
      <c r="Q319" s="9">
        <v>75301</v>
      </c>
      <c r="R319" s="9"/>
      <c r="S319" s="9">
        <v>0</v>
      </c>
      <c r="T319" s="9"/>
      <c r="U319" s="9">
        <v>0</v>
      </c>
      <c r="V319" s="9"/>
      <c r="W319" s="9">
        <v>61968</v>
      </c>
      <c r="Y319" s="3">
        <v>0</v>
      </c>
      <c r="AA319" s="3">
        <v>0</v>
      </c>
      <c r="AB319" s="9"/>
      <c r="AC319" s="9">
        <f t="shared" si="10"/>
        <v>2870612</v>
      </c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</row>
    <row r="320" spans="1:54" s="3" customFormat="1" ht="12">
      <c r="A320" s="3" t="s">
        <v>505</v>
      </c>
      <c r="C320" s="3" t="s">
        <v>20</v>
      </c>
      <c r="D320" s="9"/>
      <c r="E320" s="9">
        <v>2452244</v>
      </c>
      <c r="F320" s="9"/>
      <c r="G320" s="9">
        <v>580116</v>
      </c>
      <c r="H320" s="9"/>
      <c r="I320" s="9">
        <v>588196</v>
      </c>
      <c r="J320" s="9"/>
      <c r="K320" s="9">
        <v>699774</v>
      </c>
      <c r="L320" s="9"/>
      <c r="M320" s="9">
        <v>119771</v>
      </c>
      <c r="N320" s="9"/>
      <c r="O320" s="9">
        <v>17002</v>
      </c>
      <c r="P320" s="9"/>
      <c r="Q320" s="9">
        <v>133621</v>
      </c>
      <c r="R320" s="9"/>
      <c r="S320" s="9">
        <v>0</v>
      </c>
      <c r="T320" s="9"/>
      <c r="U320" s="9">
        <v>0</v>
      </c>
      <c r="V320" s="9"/>
      <c r="W320" s="9">
        <v>165000</v>
      </c>
      <c r="Y320" s="3">
        <v>0</v>
      </c>
      <c r="AA320" s="3">
        <v>0</v>
      </c>
      <c r="AB320" s="9"/>
      <c r="AC320" s="9">
        <f t="shared" si="10"/>
        <v>4755724</v>
      </c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</row>
    <row r="321" spans="1:54" s="3" customFormat="1" ht="12">
      <c r="A321" s="9" t="s">
        <v>24</v>
      </c>
      <c r="B321" s="9"/>
      <c r="C321" s="9" t="s">
        <v>25</v>
      </c>
      <c r="D321" s="9"/>
      <c r="E321" s="9">
        <v>1534539</v>
      </c>
      <c r="F321" s="9"/>
      <c r="G321" s="9">
        <v>589476</v>
      </c>
      <c r="H321" s="9"/>
      <c r="I321" s="9">
        <v>465760</v>
      </c>
      <c r="J321" s="9"/>
      <c r="K321" s="9">
        <v>312953</v>
      </c>
      <c r="L321" s="9"/>
      <c r="M321" s="9">
        <v>77158</v>
      </c>
      <c r="N321" s="9"/>
      <c r="O321" s="9">
        <v>10491</v>
      </c>
      <c r="P321" s="9"/>
      <c r="Q321" s="9">
        <v>253391</v>
      </c>
      <c r="S321" s="3">
        <v>0</v>
      </c>
      <c r="U321" s="3">
        <v>0</v>
      </c>
      <c r="W321" s="3">
        <v>0</v>
      </c>
      <c r="Y321" s="3">
        <v>0</v>
      </c>
      <c r="AA321" s="3">
        <v>0</v>
      </c>
      <c r="AB321" s="9"/>
      <c r="AC321" s="9">
        <f t="shared" si="10"/>
        <v>3243768</v>
      </c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</row>
    <row r="322" spans="1:54" s="3" customFormat="1" ht="12">
      <c r="A322" s="9" t="s">
        <v>270</v>
      </c>
      <c r="B322" s="9"/>
      <c r="C322" s="9" t="s">
        <v>109</v>
      </c>
      <c r="D322" s="9"/>
      <c r="E322" s="9">
        <v>717753</v>
      </c>
      <c r="F322" s="9"/>
      <c r="G322" s="9">
        <v>150299</v>
      </c>
      <c r="H322" s="9"/>
      <c r="I322" s="9">
        <v>153521</v>
      </c>
      <c r="J322" s="9"/>
      <c r="K322" s="9">
        <f>42+293123</f>
        <v>293165</v>
      </c>
      <c r="L322" s="9"/>
      <c r="M322" s="9">
        <v>54361</v>
      </c>
      <c r="N322" s="9"/>
      <c r="O322" s="9">
        <v>19765</v>
      </c>
      <c r="P322" s="9"/>
      <c r="Q322" s="9">
        <v>34967</v>
      </c>
      <c r="R322" s="9"/>
      <c r="S322" s="3">
        <v>0</v>
      </c>
      <c r="U322" s="3">
        <v>0</v>
      </c>
      <c r="W322" s="3">
        <v>0</v>
      </c>
      <c r="Y322" s="3">
        <v>0</v>
      </c>
      <c r="AA322" s="3">
        <v>0</v>
      </c>
      <c r="AB322" s="9"/>
      <c r="AC322" s="9">
        <f t="shared" si="10"/>
        <v>1423831</v>
      </c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</row>
    <row r="323" spans="1:54" s="3" customFormat="1" ht="12">
      <c r="A323" s="9" t="s">
        <v>506</v>
      </c>
      <c r="B323" s="9"/>
      <c r="C323" s="9" t="s">
        <v>507</v>
      </c>
      <c r="D323" s="9"/>
      <c r="E323" s="9">
        <v>3441977</v>
      </c>
      <c r="F323" s="9"/>
      <c r="G323" s="9">
        <v>0</v>
      </c>
      <c r="H323" s="9"/>
      <c r="I323" s="9">
        <f>24888966+11669590+12234308+3381801</f>
        <v>52174665</v>
      </c>
      <c r="J323" s="9"/>
      <c r="K323" s="9">
        <v>0</v>
      </c>
      <c r="L323" s="9"/>
      <c r="M323" s="9">
        <v>0</v>
      </c>
      <c r="N323" s="9"/>
      <c r="O323" s="9">
        <v>0</v>
      </c>
      <c r="P323" s="9"/>
      <c r="Q323" s="9">
        <v>0</v>
      </c>
      <c r="R323" s="9"/>
      <c r="S323" s="9">
        <v>62305</v>
      </c>
      <c r="T323" s="9"/>
      <c r="U323" s="9">
        <v>3168</v>
      </c>
      <c r="V323" s="9"/>
      <c r="W323" s="9">
        <v>3300000</v>
      </c>
      <c r="X323" s="9"/>
      <c r="Y323" s="9">
        <v>150000</v>
      </c>
      <c r="Z323" s="9"/>
      <c r="AA323" s="9">
        <v>0</v>
      </c>
      <c r="AB323" s="9"/>
      <c r="AC323" s="9">
        <f t="shared" si="10"/>
        <v>59132115</v>
      </c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</row>
    <row r="324" spans="1:29" s="3" customFormat="1" ht="12">
      <c r="A324" s="3" t="s">
        <v>271</v>
      </c>
      <c r="C324" s="3" t="s">
        <v>49</v>
      </c>
      <c r="E324" s="3">
        <v>278917.41</v>
      </c>
      <c r="G324" s="3">
        <v>87701.69</v>
      </c>
      <c r="I324" s="3">
        <v>107522.07</v>
      </c>
      <c r="K324" s="3">
        <v>66131.01</v>
      </c>
      <c r="M324" s="3">
        <v>18217.75</v>
      </c>
      <c r="O324" s="3">
        <v>12698.24</v>
      </c>
      <c r="Q324" s="3">
        <v>13404.66</v>
      </c>
      <c r="S324" s="3">
        <v>20856.99</v>
      </c>
      <c r="U324" s="3">
        <v>4008.33</v>
      </c>
      <c r="W324" s="3">
        <v>50160</v>
      </c>
      <c r="Y324" s="3">
        <v>0</v>
      </c>
      <c r="AA324" s="3">
        <v>0</v>
      </c>
      <c r="AC324" s="3">
        <f t="shared" si="10"/>
        <v>659618.1499999999</v>
      </c>
    </row>
    <row r="325" spans="1:29" s="3" customFormat="1" ht="12">
      <c r="A325" s="3" t="s">
        <v>272</v>
      </c>
      <c r="C325" s="3" t="s">
        <v>190</v>
      </c>
      <c r="E325" s="3">
        <v>696850.6</v>
      </c>
      <c r="G325" s="3">
        <v>196333.71</v>
      </c>
      <c r="I325" s="3">
        <v>691871</v>
      </c>
      <c r="K325" s="3">
        <v>222582.91</v>
      </c>
      <c r="M325" s="3">
        <v>28624.88</v>
      </c>
      <c r="O325" s="3">
        <v>884.74</v>
      </c>
      <c r="Q325" s="3">
        <v>209525.35</v>
      </c>
      <c r="S325" s="3">
        <v>0</v>
      </c>
      <c r="U325" s="3">
        <v>0</v>
      </c>
      <c r="W325" s="3">
        <v>0</v>
      </c>
      <c r="Y325" s="3">
        <v>0</v>
      </c>
      <c r="AA325" s="3">
        <v>0</v>
      </c>
      <c r="AC325" s="3">
        <f t="shared" si="10"/>
        <v>2046673.19</v>
      </c>
    </row>
    <row r="326" spans="1:54" s="3" customFormat="1" ht="12">
      <c r="A326" s="9" t="s">
        <v>361</v>
      </c>
      <c r="B326" s="9"/>
      <c r="C326" s="9" t="s">
        <v>244</v>
      </c>
      <c r="D326" s="9"/>
      <c r="E326" s="9">
        <v>5939401</v>
      </c>
      <c r="F326" s="9"/>
      <c r="G326" s="9">
        <v>1918349</v>
      </c>
      <c r="H326" s="9"/>
      <c r="I326" s="9">
        <v>2211621</v>
      </c>
      <c r="J326" s="9"/>
      <c r="K326" s="9">
        <v>1634824</v>
      </c>
      <c r="L326" s="9"/>
      <c r="M326" s="9">
        <v>259840</v>
      </c>
      <c r="N326" s="9"/>
      <c r="O326" s="9">
        <v>73323</v>
      </c>
      <c r="P326" s="9"/>
      <c r="Q326" s="9">
        <v>1303407</v>
      </c>
      <c r="R326" s="9"/>
      <c r="S326" s="9">
        <v>0</v>
      </c>
      <c r="T326" s="9"/>
      <c r="U326" s="9">
        <v>0</v>
      </c>
      <c r="V326" s="9"/>
      <c r="W326" s="9">
        <v>2300000</v>
      </c>
      <c r="Y326" s="3">
        <v>0</v>
      </c>
      <c r="AA326" s="3">
        <v>0</v>
      </c>
      <c r="AB326" s="9"/>
      <c r="AC326" s="9">
        <f t="shared" si="10"/>
        <v>15640765</v>
      </c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</row>
    <row r="327" spans="1:54" s="3" customFormat="1" ht="12">
      <c r="A327" s="9" t="s">
        <v>274</v>
      </c>
      <c r="B327" s="9"/>
      <c r="C327" s="9" t="s">
        <v>215</v>
      </c>
      <c r="D327" s="9"/>
      <c r="E327" s="9">
        <v>132807</v>
      </c>
      <c r="F327" s="9"/>
      <c r="G327" s="9">
        <v>55383</v>
      </c>
      <c r="H327" s="9"/>
      <c r="I327" s="9">
        <v>67411</v>
      </c>
      <c r="J327" s="9"/>
      <c r="K327" s="9">
        <v>41813</v>
      </c>
      <c r="L327" s="9"/>
      <c r="M327" s="9">
        <v>8443</v>
      </c>
      <c r="N327" s="9"/>
      <c r="O327" s="9">
        <v>1472</v>
      </c>
      <c r="P327" s="9"/>
      <c r="Q327" s="9">
        <v>0</v>
      </c>
      <c r="R327" s="9"/>
      <c r="S327" s="9">
        <v>42052</v>
      </c>
      <c r="T327" s="9"/>
      <c r="U327" s="3">
        <v>0</v>
      </c>
      <c r="W327" s="3">
        <v>0</v>
      </c>
      <c r="Y327" s="3">
        <v>0</v>
      </c>
      <c r="AA327" s="3">
        <v>0</v>
      </c>
      <c r="AB327" s="9"/>
      <c r="AC327" s="9">
        <f t="shared" si="10"/>
        <v>349381</v>
      </c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</row>
    <row r="328" spans="1:29" s="3" customFormat="1" ht="12">
      <c r="A328" s="3" t="s">
        <v>362</v>
      </c>
      <c r="C328" s="3" t="s">
        <v>64</v>
      </c>
      <c r="E328" s="3">
        <v>66961.46</v>
      </c>
      <c r="G328" s="3">
        <v>10172.87</v>
      </c>
      <c r="I328" s="3">
        <v>30317.05</v>
      </c>
      <c r="K328" s="3">
        <v>17074.03</v>
      </c>
      <c r="M328" s="3">
        <v>5393.29</v>
      </c>
      <c r="O328" s="3">
        <v>1186.02</v>
      </c>
      <c r="Q328" s="3">
        <v>3015.64</v>
      </c>
      <c r="S328" s="3">
        <v>0</v>
      </c>
      <c r="U328" s="3">
        <v>0</v>
      </c>
      <c r="W328" s="3">
        <v>0</v>
      </c>
      <c r="Y328" s="3">
        <v>0</v>
      </c>
      <c r="AA328" s="3">
        <v>0</v>
      </c>
      <c r="AC328" s="3">
        <f t="shared" si="10"/>
        <v>134120.36000000002</v>
      </c>
    </row>
    <row r="329" spans="1:29" s="3" customFormat="1" ht="12">
      <c r="A329" s="3" t="s">
        <v>535</v>
      </c>
      <c r="C329" s="3" t="s">
        <v>182</v>
      </c>
      <c r="E329" s="3">
        <v>528789.46</v>
      </c>
      <c r="G329" s="3">
        <v>120352.11</v>
      </c>
      <c r="I329" s="3">
        <v>247086.43</v>
      </c>
      <c r="K329" s="3">
        <v>191925.24</v>
      </c>
      <c r="M329" s="3">
        <v>20234.97</v>
      </c>
      <c r="O329" s="3">
        <v>9679.17</v>
      </c>
      <c r="Q329" s="3">
        <v>33048.5</v>
      </c>
      <c r="S329" s="3">
        <v>0</v>
      </c>
      <c r="U329" s="3">
        <v>0</v>
      </c>
      <c r="W329" s="3">
        <v>24000</v>
      </c>
      <c r="Y329" s="3">
        <v>0</v>
      </c>
      <c r="AA329" s="3">
        <v>42.8</v>
      </c>
      <c r="AC329" s="3">
        <f t="shared" si="10"/>
        <v>1175158.68</v>
      </c>
    </row>
    <row r="330" spans="1:29" s="3" customFormat="1" ht="12">
      <c r="A330" s="3" t="s">
        <v>277</v>
      </c>
      <c r="C330" s="3" t="s">
        <v>46</v>
      </c>
      <c r="E330" s="3">
        <v>91349.87</v>
      </c>
      <c r="G330" s="3">
        <v>13337.75</v>
      </c>
      <c r="I330" s="3">
        <v>40607</v>
      </c>
      <c r="K330" s="3">
        <v>44130.21</v>
      </c>
      <c r="M330" s="3">
        <v>5759.59</v>
      </c>
      <c r="O330" s="3">
        <v>6075.95</v>
      </c>
      <c r="Q330" s="3">
        <v>13363</v>
      </c>
      <c r="S330" s="3">
        <v>0</v>
      </c>
      <c r="U330" s="3">
        <v>0</v>
      </c>
      <c r="W330" s="3">
        <v>0</v>
      </c>
      <c r="Y330" s="3">
        <v>0</v>
      </c>
      <c r="AA330" s="3">
        <v>84.83</v>
      </c>
      <c r="AC330" s="3">
        <f t="shared" si="10"/>
        <v>214708.19999999998</v>
      </c>
    </row>
    <row r="331" spans="1:29" s="3" customFormat="1" ht="12">
      <c r="A331" s="3" t="s">
        <v>278</v>
      </c>
      <c r="C331" s="3" t="s">
        <v>53</v>
      </c>
      <c r="E331" s="3">
        <v>90301.25</v>
      </c>
      <c r="G331" s="3">
        <v>39894.74</v>
      </c>
      <c r="I331" s="3">
        <v>21529.5</v>
      </c>
      <c r="K331" s="3">
        <v>42383.08</v>
      </c>
      <c r="M331" s="3">
        <v>22154.67</v>
      </c>
      <c r="O331" s="3">
        <v>1846</v>
      </c>
      <c r="Q331" s="3">
        <v>6300.08</v>
      </c>
      <c r="S331" s="3">
        <v>0</v>
      </c>
      <c r="U331" s="3">
        <v>0</v>
      </c>
      <c r="W331" s="3">
        <v>0</v>
      </c>
      <c r="Y331" s="3">
        <v>0</v>
      </c>
      <c r="AA331" s="3">
        <v>0</v>
      </c>
      <c r="AC331" s="3">
        <f t="shared" si="10"/>
        <v>224409.31999999998</v>
      </c>
    </row>
    <row r="332" spans="1:54" s="3" customFormat="1" ht="12">
      <c r="A332" s="9" t="s">
        <v>279</v>
      </c>
      <c r="B332" s="9"/>
      <c r="C332" s="9" t="s">
        <v>20</v>
      </c>
      <c r="D332" s="9"/>
      <c r="E332" s="9">
        <v>2054955</v>
      </c>
      <c r="F332" s="9"/>
      <c r="G332" s="9">
        <v>418084</v>
      </c>
      <c r="H332" s="9"/>
      <c r="I332" s="9">
        <v>413909</v>
      </c>
      <c r="J332" s="9"/>
      <c r="K332" s="9">
        <v>601530</v>
      </c>
      <c r="L332" s="9"/>
      <c r="M332" s="9">
        <v>91411</v>
      </c>
      <c r="N332" s="9"/>
      <c r="O332" s="9">
        <v>27242</v>
      </c>
      <c r="P332" s="9"/>
      <c r="Q332" s="9">
        <v>2089606</v>
      </c>
      <c r="R332" s="9"/>
      <c r="S332" s="9">
        <v>170000</v>
      </c>
      <c r="T332" s="9"/>
      <c r="U332" s="9">
        <v>68125</v>
      </c>
      <c r="V332" s="9"/>
      <c r="W332" s="9">
        <v>325000</v>
      </c>
      <c r="Y332" s="3">
        <v>0</v>
      </c>
      <c r="AA332" s="3">
        <v>0</v>
      </c>
      <c r="AB332" s="9"/>
      <c r="AC332" s="9">
        <f t="shared" si="10"/>
        <v>6259862</v>
      </c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</row>
    <row r="333" spans="1:54" s="3" customFormat="1" ht="12">
      <c r="A333" s="9" t="s">
        <v>280</v>
      </c>
      <c r="B333" s="9"/>
      <c r="C333" s="9" t="s">
        <v>26</v>
      </c>
      <c r="D333" s="9"/>
      <c r="E333" s="9">
        <v>975658</v>
      </c>
      <c r="F333" s="9"/>
      <c r="G333" s="9">
        <f>132818+13541+115674-3</f>
        <v>262030</v>
      </c>
      <c r="H333" s="9"/>
      <c r="I333" s="9">
        <f>4246+1030+1989+11623+49129+76349+12709+102169+2000+595+44507+1207+245189+923</f>
        <v>553665</v>
      </c>
      <c r="J333" s="9"/>
      <c r="K333" s="9">
        <f>151796+24012+26290+80971+4379+1360+15504</f>
        <v>304312</v>
      </c>
      <c r="L333" s="9"/>
      <c r="M333" s="9">
        <f>31929+5303+3369</f>
        <v>40601</v>
      </c>
      <c r="N333" s="9"/>
      <c r="O333" s="9">
        <f>6199+488</f>
        <v>6687</v>
      </c>
      <c r="P333" s="9"/>
      <c r="Q333" s="9">
        <v>7826</v>
      </c>
      <c r="R333" s="9"/>
      <c r="S333" s="9">
        <v>0</v>
      </c>
      <c r="T333" s="9"/>
      <c r="U333" s="3">
        <v>0</v>
      </c>
      <c r="W333" s="3">
        <v>0</v>
      </c>
      <c r="Y333" s="3">
        <v>0</v>
      </c>
      <c r="AA333" s="3">
        <v>0</v>
      </c>
      <c r="AB333" s="9"/>
      <c r="AC333" s="9">
        <f t="shared" si="10"/>
        <v>2150779</v>
      </c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</row>
    <row r="334" spans="1:54" s="3" customFormat="1" ht="12">
      <c r="A334" s="9" t="s">
        <v>281</v>
      </c>
      <c r="B334" s="9"/>
      <c r="C334" s="9" t="s">
        <v>68</v>
      </c>
      <c r="D334" s="9"/>
      <c r="E334" s="9">
        <v>369793</v>
      </c>
      <c r="F334" s="9"/>
      <c r="G334" s="9">
        <v>119344</v>
      </c>
      <c r="H334" s="9"/>
      <c r="I334" s="9">
        <v>123466</v>
      </c>
      <c r="J334" s="9"/>
      <c r="K334" s="9">
        <v>139351</v>
      </c>
      <c r="L334" s="9"/>
      <c r="M334" s="9">
        <v>16641</v>
      </c>
      <c r="N334" s="9"/>
      <c r="O334" s="9">
        <v>5761</v>
      </c>
      <c r="P334" s="9"/>
      <c r="Q334" s="9">
        <v>61013</v>
      </c>
      <c r="R334" s="9"/>
      <c r="S334" s="9">
        <v>0</v>
      </c>
      <c r="T334" s="9"/>
      <c r="U334" s="9">
        <v>0</v>
      </c>
      <c r="W334" s="3">
        <v>0</v>
      </c>
      <c r="Y334" s="3">
        <v>0</v>
      </c>
      <c r="AA334" s="3">
        <v>0</v>
      </c>
      <c r="AB334" s="9"/>
      <c r="AC334" s="9">
        <f t="shared" si="10"/>
        <v>835369</v>
      </c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</row>
    <row r="335" spans="1:29" s="3" customFormat="1" ht="12">
      <c r="A335" s="3" t="s">
        <v>282</v>
      </c>
      <c r="C335" s="3" t="s">
        <v>72</v>
      </c>
      <c r="E335" s="3">
        <v>132298.51</v>
      </c>
      <c r="G335" s="3">
        <v>37692.35</v>
      </c>
      <c r="I335" s="3">
        <v>27288.94</v>
      </c>
      <c r="K335" s="3">
        <v>72719.14</v>
      </c>
      <c r="M335" s="3">
        <v>9950.56</v>
      </c>
      <c r="O335" s="3">
        <v>623</v>
      </c>
      <c r="Q335" s="3">
        <v>12309.59</v>
      </c>
      <c r="S335" s="3">
        <v>0</v>
      </c>
      <c r="U335" s="3">
        <v>0</v>
      </c>
      <c r="W335" s="3">
        <v>0</v>
      </c>
      <c r="Y335" s="3">
        <v>0</v>
      </c>
      <c r="AA335" s="3">
        <v>1603.46</v>
      </c>
      <c r="AC335" s="3">
        <f t="shared" si="10"/>
        <v>294485.55000000005</v>
      </c>
    </row>
    <row r="336" spans="1:29" s="3" customFormat="1" ht="12">
      <c r="A336" s="3" t="s">
        <v>398</v>
      </c>
      <c r="C336" s="3" t="s">
        <v>65</v>
      </c>
      <c r="E336" s="3">
        <v>173274.09</v>
      </c>
      <c r="G336" s="3">
        <v>75761.6</v>
      </c>
      <c r="I336" s="3">
        <v>67075.43</v>
      </c>
      <c r="K336" s="3">
        <v>37057.41</v>
      </c>
      <c r="M336" s="3">
        <v>11254.62</v>
      </c>
      <c r="O336" s="3">
        <v>2244</v>
      </c>
      <c r="Q336" s="3">
        <v>3890.9</v>
      </c>
      <c r="S336" s="3">
        <v>0</v>
      </c>
      <c r="U336" s="3">
        <v>0</v>
      </c>
      <c r="W336" s="3">
        <v>0</v>
      </c>
      <c r="Y336" s="3">
        <v>0</v>
      </c>
      <c r="AA336" s="3">
        <v>0</v>
      </c>
      <c r="AC336" s="3">
        <f t="shared" si="10"/>
        <v>370558.05000000005</v>
      </c>
    </row>
    <row r="337" spans="1:54" s="3" customFormat="1" ht="12">
      <c r="A337" s="9" t="s">
        <v>284</v>
      </c>
      <c r="B337" s="9"/>
      <c r="C337" s="9" t="s">
        <v>54</v>
      </c>
      <c r="D337" s="9"/>
      <c r="E337" s="9">
        <v>464418</v>
      </c>
      <c r="F337" s="9"/>
      <c r="G337" s="9">
        <v>99919</v>
      </c>
      <c r="H337" s="9"/>
      <c r="I337" s="9">
        <v>173823</v>
      </c>
      <c r="J337" s="9"/>
      <c r="K337" s="9">
        <v>150772</v>
      </c>
      <c r="L337" s="9"/>
      <c r="M337" s="9">
        <v>19207</v>
      </c>
      <c r="N337" s="9"/>
      <c r="O337" s="9">
        <v>8726</v>
      </c>
      <c r="P337" s="9"/>
      <c r="Q337" s="9">
        <v>45212</v>
      </c>
      <c r="S337" s="3">
        <v>0</v>
      </c>
      <c r="U337" s="3">
        <v>0</v>
      </c>
      <c r="W337" s="3">
        <v>0</v>
      </c>
      <c r="Y337" s="3">
        <v>0</v>
      </c>
      <c r="AA337" s="3">
        <v>0</v>
      </c>
      <c r="AB337" s="9"/>
      <c r="AC337" s="9">
        <f t="shared" si="10"/>
        <v>962077</v>
      </c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</row>
    <row r="338" spans="1:54" s="3" customFormat="1" ht="12">
      <c r="A338" s="9" t="s">
        <v>363</v>
      </c>
      <c r="B338" s="9"/>
      <c r="C338" s="9" t="s">
        <v>182</v>
      </c>
      <c r="D338" s="9"/>
      <c r="E338" s="9">
        <v>1339765</v>
      </c>
      <c r="F338" s="9"/>
      <c r="G338" s="9">
        <v>450725</v>
      </c>
      <c r="H338" s="9"/>
      <c r="I338" s="9">
        <v>658661</v>
      </c>
      <c r="J338" s="9"/>
      <c r="K338" s="9">
        <v>237249</v>
      </c>
      <c r="L338" s="9"/>
      <c r="M338" s="9">
        <v>55535</v>
      </c>
      <c r="N338" s="9"/>
      <c r="O338" s="9">
        <v>21646</v>
      </c>
      <c r="P338" s="9"/>
      <c r="Q338" s="9">
        <v>28591</v>
      </c>
      <c r="R338" s="9"/>
      <c r="S338" s="9">
        <v>0</v>
      </c>
      <c r="T338" s="9"/>
      <c r="U338" s="9">
        <v>0</v>
      </c>
      <c r="V338" s="9"/>
      <c r="W338" s="9">
        <v>27624</v>
      </c>
      <c r="X338" s="9"/>
      <c r="Y338" s="9">
        <v>0</v>
      </c>
      <c r="Z338" s="9"/>
      <c r="AA338" s="3">
        <v>0</v>
      </c>
      <c r="AB338" s="9"/>
      <c r="AC338" s="9">
        <f t="shared" si="10"/>
        <v>2819796</v>
      </c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</row>
    <row r="339" spans="1:54" s="3" customFormat="1" ht="1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B339" s="9"/>
      <c r="AC339" s="21" t="s">
        <v>8</v>
      </c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</row>
    <row r="340" spans="1:29" s="4" customFormat="1" ht="12">
      <c r="A340" s="4" t="s">
        <v>286</v>
      </c>
      <c r="C340" s="4" t="s">
        <v>71</v>
      </c>
      <c r="E340" s="4">
        <v>174681.44</v>
      </c>
      <c r="G340" s="4">
        <v>27170.55</v>
      </c>
      <c r="I340" s="4">
        <v>49451.5</v>
      </c>
      <c r="K340" s="4">
        <v>42328.21</v>
      </c>
      <c r="M340" s="4">
        <v>14024.91</v>
      </c>
      <c r="O340" s="4">
        <v>1486</v>
      </c>
      <c r="Q340" s="4">
        <v>279.8</v>
      </c>
      <c r="S340" s="4">
        <v>0</v>
      </c>
      <c r="U340" s="4">
        <v>0</v>
      </c>
      <c r="W340" s="4">
        <v>12</v>
      </c>
      <c r="Y340" s="4">
        <v>0</v>
      </c>
      <c r="AA340" s="4">
        <v>0</v>
      </c>
      <c r="AC340" s="4">
        <f aca="true" t="shared" si="11" ref="AC340:AC380">SUM(E340:AA340)</f>
        <v>309434.41</v>
      </c>
    </row>
    <row r="341" spans="1:29" s="3" customFormat="1" ht="12">
      <c r="A341" s="3" t="s">
        <v>287</v>
      </c>
      <c r="C341" s="3" t="s">
        <v>48</v>
      </c>
      <c r="E341" s="3">
        <v>91134.69</v>
      </c>
      <c r="G341" s="3">
        <v>13554.78</v>
      </c>
      <c r="I341" s="3">
        <v>39022.9</v>
      </c>
      <c r="K341" s="3">
        <v>25418.36</v>
      </c>
      <c r="M341" s="3">
        <v>7299.57</v>
      </c>
      <c r="O341" s="3">
        <v>8747.2</v>
      </c>
      <c r="Q341" s="3">
        <v>6779.21</v>
      </c>
      <c r="S341" s="3">
        <v>5609.62</v>
      </c>
      <c r="U341" s="3">
        <v>3965.9</v>
      </c>
      <c r="W341" s="3">
        <v>9575.52</v>
      </c>
      <c r="Y341" s="3">
        <v>0</v>
      </c>
      <c r="AA341" s="3">
        <v>0</v>
      </c>
      <c r="AC341" s="3">
        <f t="shared" si="11"/>
        <v>211107.74999999997</v>
      </c>
    </row>
    <row r="342" spans="1:54" s="3" customFormat="1" ht="12">
      <c r="A342" s="9" t="s">
        <v>288</v>
      </c>
      <c r="B342" s="9"/>
      <c r="C342" s="9" t="s">
        <v>20</v>
      </c>
      <c r="D342" s="9"/>
      <c r="E342" s="9">
        <v>2887108</v>
      </c>
      <c r="F342" s="9"/>
      <c r="G342" s="9">
        <v>757956</v>
      </c>
      <c r="H342" s="9"/>
      <c r="I342" s="9">
        <v>828784</v>
      </c>
      <c r="J342" s="9"/>
      <c r="K342" s="9">
        <v>948810</v>
      </c>
      <c r="L342" s="9"/>
      <c r="M342" s="9">
        <v>71046</v>
      </c>
      <c r="N342" s="9"/>
      <c r="O342" s="9">
        <v>21749</v>
      </c>
      <c r="P342" s="9"/>
      <c r="Q342" s="9">
        <v>65618</v>
      </c>
      <c r="R342" s="9"/>
      <c r="S342" s="9">
        <v>0</v>
      </c>
      <c r="T342" s="9"/>
      <c r="U342" s="9">
        <v>0</v>
      </c>
      <c r="V342" s="9"/>
      <c r="W342" s="9">
        <v>210000</v>
      </c>
      <c r="Y342" s="3">
        <v>0</v>
      </c>
      <c r="AA342" s="3">
        <v>0</v>
      </c>
      <c r="AB342" s="9"/>
      <c r="AC342" s="9">
        <f t="shared" si="11"/>
        <v>5791071</v>
      </c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</row>
    <row r="343" spans="1:54" s="3" customFormat="1" ht="12">
      <c r="A343" s="9" t="s">
        <v>508</v>
      </c>
      <c r="B343" s="9"/>
      <c r="C343" s="9" t="s">
        <v>186</v>
      </c>
      <c r="D343" s="9"/>
      <c r="E343" s="9">
        <v>125530</v>
      </c>
      <c r="F343" s="9"/>
      <c r="G343" s="9">
        <v>94569</v>
      </c>
      <c r="H343" s="9"/>
      <c r="I343" s="9">
        <v>83667</v>
      </c>
      <c r="J343" s="9"/>
      <c r="K343" s="9">
        <v>0</v>
      </c>
      <c r="L343" s="9"/>
      <c r="M343" s="9">
        <v>4108</v>
      </c>
      <c r="N343" s="9"/>
      <c r="O343" s="9">
        <v>100578</v>
      </c>
      <c r="P343" s="9"/>
      <c r="Q343" s="9">
        <v>339</v>
      </c>
      <c r="R343" s="9"/>
      <c r="S343" s="9">
        <v>0</v>
      </c>
      <c r="T343" s="9"/>
      <c r="U343" s="9">
        <v>0</v>
      </c>
      <c r="V343" s="9"/>
      <c r="W343" s="9">
        <v>0</v>
      </c>
      <c r="X343" s="9"/>
      <c r="Y343" s="9">
        <v>0</v>
      </c>
      <c r="Z343" s="9"/>
      <c r="AA343" s="9">
        <v>0</v>
      </c>
      <c r="AB343" s="9"/>
      <c r="AC343" s="9">
        <f t="shared" si="11"/>
        <v>408791</v>
      </c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</row>
    <row r="344" spans="1:54" s="3" customFormat="1" ht="12">
      <c r="A344" s="9" t="s">
        <v>290</v>
      </c>
      <c r="B344" s="9"/>
      <c r="C344" s="9" t="s">
        <v>98</v>
      </c>
      <c r="D344" s="9"/>
      <c r="E344" s="9">
        <v>2104442</v>
      </c>
      <c r="F344" s="9"/>
      <c r="G344" s="9">
        <v>608560</v>
      </c>
      <c r="H344" s="9"/>
      <c r="I344" s="9">
        <v>996827</v>
      </c>
      <c r="J344" s="9"/>
      <c r="K344" s="9">
        <v>527500</v>
      </c>
      <c r="L344" s="9"/>
      <c r="M344" s="9">
        <v>100376</v>
      </c>
      <c r="N344" s="9"/>
      <c r="O344" s="9">
        <v>30927</v>
      </c>
      <c r="P344" s="9"/>
      <c r="Q344" s="9">
        <v>124596</v>
      </c>
      <c r="R344" s="9"/>
      <c r="S344" s="3">
        <v>0</v>
      </c>
      <c r="U344" s="3">
        <v>0</v>
      </c>
      <c r="W344" s="3">
        <v>0</v>
      </c>
      <c r="Y344" s="3">
        <v>0</v>
      </c>
      <c r="AA344" s="3">
        <v>0</v>
      </c>
      <c r="AB344" s="9"/>
      <c r="AC344" s="9">
        <f t="shared" si="11"/>
        <v>4493228</v>
      </c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</row>
    <row r="345" spans="1:29" s="3" customFormat="1" ht="12">
      <c r="A345" s="3" t="s">
        <v>291</v>
      </c>
      <c r="C345" s="3" t="s">
        <v>47</v>
      </c>
      <c r="E345" s="3">
        <v>285510.58</v>
      </c>
      <c r="G345" s="3">
        <v>70260.17</v>
      </c>
      <c r="I345" s="3">
        <v>99027.27</v>
      </c>
      <c r="K345" s="3">
        <v>83515.84</v>
      </c>
      <c r="M345" s="3">
        <v>27052.37</v>
      </c>
      <c r="O345" s="3">
        <v>4824</v>
      </c>
      <c r="Q345" s="3">
        <v>25149.09</v>
      </c>
      <c r="S345" s="3">
        <v>0</v>
      </c>
      <c r="U345" s="3">
        <v>0</v>
      </c>
      <c r="W345" s="3">
        <v>0</v>
      </c>
      <c r="Y345" s="3">
        <v>0</v>
      </c>
      <c r="AA345" s="3">
        <v>0</v>
      </c>
      <c r="AC345" s="3">
        <f t="shared" si="11"/>
        <v>595339.32</v>
      </c>
    </row>
    <row r="346" spans="1:29" s="3" customFormat="1" ht="12">
      <c r="A346" s="3" t="s">
        <v>292</v>
      </c>
      <c r="C346" s="3" t="s">
        <v>14</v>
      </c>
      <c r="E346" s="3">
        <v>271863.61</v>
      </c>
      <c r="G346" s="3">
        <v>57397.6</v>
      </c>
      <c r="I346" s="3">
        <v>78521.47</v>
      </c>
      <c r="K346" s="3">
        <v>52975.4</v>
      </c>
      <c r="M346" s="3">
        <v>14361.18</v>
      </c>
      <c r="O346" s="3">
        <v>3079.95</v>
      </c>
      <c r="Q346" s="3">
        <v>23723.33</v>
      </c>
      <c r="S346" s="3">
        <v>0</v>
      </c>
      <c r="U346" s="3">
        <v>0</v>
      </c>
      <c r="W346" s="3">
        <v>0</v>
      </c>
      <c r="Y346" s="3">
        <v>0</v>
      </c>
      <c r="AA346" s="3">
        <v>0</v>
      </c>
      <c r="AC346" s="3">
        <f t="shared" si="11"/>
        <v>501922.54</v>
      </c>
    </row>
    <row r="347" spans="1:54" s="3" customFormat="1" ht="12">
      <c r="A347" s="9" t="s">
        <v>293</v>
      </c>
      <c r="B347" s="9"/>
      <c r="C347" s="9" t="s">
        <v>26</v>
      </c>
      <c r="D347" s="9"/>
      <c r="E347" s="3">
        <v>1553138</v>
      </c>
      <c r="G347" s="3">
        <v>0</v>
      </c>
      <c r="I347" s="3">
        <f>15900973-2038025-1553138</f>
        <v>12309810</v>
      </c>
      <c r="K347" s="3">
        <v>0</v>
      </c>
      <c r="M347" s="3">
        <v>0</v>
      </c>
      <c r="O347" s="3">
        <v>0</v>
      </c>
      <c r="Q347" s="3">
        <v>2038025</v>
      </c>
      <c r="S347" s="3">
        <v>0</v>
      </c>
      <c r="U347" s="3">
        <v>0</v>
      </c>
      <c r="W347" s="3">
        <v>0</v>
      </c>
      <c r="Y347" s="3">
        <v>0</v>
      </c>
      <c r="AA347" s="3">
        <v>0</v>
      </c>
      <c r="AB347" s="9"/>
      <c r="AC347" s="9">
        <f t="shared" si="11"/>
        <v>15900973</v>
      </c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</row>
    <row r="348" spans="1:29" s="3" customFormat="1" ht="12">
      <c r="A348" s="3" t="s">
        <v>294</v>
      </c>
      <c r="C348" s="3" t="s">
        <v>295</v>
      </c>
      <c r="E348" s="9">
        <v>1506288</v>
      </c>
      <c r="F348" s="9"/>
      <c r="G348" s="9">
        <v>608081</v>
      </c>
      <c r="H348" s="9"/>
      <c r="I348" s="9">
        <v>548375</v>
      </c>
      <c r="J348" s="9"/>
      <c r="K348" s="9">
        <v>276408</v>
      </c>
      <c r="L348" s="9"/>
      <c r="M348" s="9">
        <v>71376</v>
      </c>
      <c r="N348" s="9"/>
      <c r="O348" s="9">
        <v>11754</v>
      </c>
      <c r="P348" s="9"/>
      <c r="Q348" s="9">
        <v>213384</v>
      </c>
      <c r="R348" s="9"/>
      <c r="S348" s="9">
        <v>0</v>
      </c>
      <c r="T348" s="9"/>
      <c r="U348" s="9">
        <v>0</v>
      </c>
      <c r="V348" s="9"/>
      <c r="W348" s="9">
        <v>305000</v>
      </c>
      <c r="Y348" s="3">
        <v>0</v>
      </c>
      <c r="AA348" s="3">
        <v>0</v>
      </c>
      <c r="AC348" s="3">
        <f t="shared" si="11"/>
        <v>3540666</v>
      </c>
    </row>
    <row r="349" spans="1:29" s="3" customFormat="1" ht="12">
      <c r="A349" s="3" t="s">
        <v>296</v>
      </c>
      <c r="C349" s="3" t="s">
        <v>23</v>
      </c>
      <c r="E349" s="9">
        <v>242102</v>
      </c>
      <c r="F349" s="9"/>
      <c r="G349" s="9">
        <v>0</v>
      </c>
      <c r="H349" s="9"/>
      <c r="I349" s="9">
        <f>2359329-242102-134373</f>
        <v>1982854</v>
      </c>
      <c r="J349" s="9"/>
      <c r="K349" s="9">
        <v>0</v>
      </c>
      <c r="L349" s="9"/>
      <c r="M349" s="9">
        <v>0</v>
      </c>
      <c r="N349" s="9"/>
      <c r="O349" s="9">
        <v>0</v>
      </c>
      <c r="P349" s="9"/>
      <c r="Q349" s="9">
        <v>134373</v>
      </c>
      <c r="R349" s="9"/>
      <c r="S349" s="9">
        <v>0</v>
      </c>
      <c r="T349" s="9"/>
      <c r="U349" s="9">
        <v>0</v>
      </c>
      <c r="V349" s="9"/>
      <c r="W349" s="9">
        <v>100000</v>
      </c>
      <c r="Y349" s="3">
        <v>0</v>
      </c>
      <c r="AA349" s="3">
        <v>0</v>
      </c>
      <c r="AC349" s="3">
        <f t="shared" si="11"/>
        <v>2459329</v>
      </c>
    </row>
    <row r="350" spans="1:29" s="3" customFormat="1" ht="12">
      <c r="A350" s="3" t="s">
        <v>297</v>
      </c>
      <c r="C350" s="3" t="s">
        <v>45</v>
      </c>
      <c r="E350" s="3">
        <v>194133.46</v>
      </c>
      <c r="G350" s="3">
        <v>73019</v>
      </c>
      <c r="I350" s="3">
        <v>77464.83</v>
      </c>
      <c r="K350" s="3">
        <v>35927.39</v>
      </c>
      <c r="M350" s="3">
        <v>6466.8</v>
      </c>
      <c r="O350" s="3">
        <v>3505.04</v>
      </c>
      <c r="Q350" s="3">
        <v>3254.85</v>
      </c>
      <c r="S350" s="3">
        <v>14198.97</v>
      </c>
      <c r="U350" s="3">
        <v>1589.19</v>
      </c>
      <c r="W350" s="3">
        <v>0</v>
      </c>
      <c r="Y350" s="3">
        <v>0</v>
      </c>
      <c r="AA350" s="3">
        <v>0</v>
      </c>
      <c r="AC350" s="3">
        <f t="shared" si="11"/>
        <v>409559.5299999999</v>
      </c>
    </row>
    <row r="351" spans="1:29" s="3" customFormat="1" ht="12">
      <c r="A351" s="3" t="s">
        <v>298</v>
      </c>
      <c r="C351" s="3" t="s">
        <v>186</v>
      </c>
      <c r="E351" s="3">
        <v>286933.09</v>
      </c>
      <c r="G351" s="3">
        <v>100730.79</v>
      </c>
      <c r="I351" s="3">
        <v>38995.6</v>
      </c>
      <c r="K351" s="3">
        <v>45800.35</v>
      </c>
      <c r="M351" s="3">
        <v>12439.87</v>
      </c>
      <c r="O351" s="3">
        <v>1198.5</v>
      </c>
      <c r="Q351" s="3">
        <v>71921.24</v>
      </c>
      <c r="S351" s="3">
        <v>0</v>
      </c>
      <c r="U351" s="3">
        <v>0</v>
      </c>
      <c r="W351" s="3">
        <v>25000</v>
      </c>
      <c r="Y351" s="3">
        <v>0</v>
      </c>
      <c r="AA351" s="3">
        <v>0</v>
      </c>
      <c r="AC351" s="3">
        <f t="shared" si="11"/>
        <v>583019.44</v>
      </c>
    </row>
    <row r="352" spans="1:29" s="3" customFormat="1" ht="12">
      <c r="A352" s="3" t="s">
        <v>299</v>
      </c>
      <c r="C352" s="3" t="s">
        <v>23</v>
      </c>
      <c r="E352" s="9">
        <v>976985</v>
      </c>
      <c r="F352" s="9"/>
      <c r="G352" s="9">
        <v>260878</v>
      </c>
      <c r="H352" s="9"/>
      <c r="I352" s="9">
        <v>330544</v>
      </c>
      <c r="J352" s="9"/>
      <c r="K352" s="9">
        <v>437751</v>
      </c>
      <c r="L352" s="9"/>
      <c r="M352" s="9">
        <v>48704</v>
      </c>
      <c r="N352" s="9"/>
      <c r="O352" s="9">
        <v>8638</v>
      </c>
      <c r="P352" s="9"/>
      <c r="Q352" s="9">
        <v>48570</v>
      </c>
      <c r="S352" s="3">
        <v>0</v>
      </c>
      <c r="U352" s="3">
        <v>0</v>
      </c>
      <c r="W352" s="3">
        <v>343682</v>
      </c>
      <c r="Y352" s="3">
        <v>0</v>
      </c>
      <c r="AA352" s="3">
        <v>0</v>
      </c>
      <c r="AC352" s="3">
        <f t="shared" si="11"/>
        <v>2455752</v>
      </c>
    </row>
    <row r="353" spans="1:29" s="3" customFormat="1" ht="12">
      <c r="A353" s="3" t="s">
        <v>300</v>
      </c>
      <c r="C353" s="3" t="s">
        <v>48</v>
      </c>
      <c r="E353" s="9">
        <v>739092</v>
      </c>
      <c r="F353" s="9"/>
      <c r="G353" s="9">
        <v>200731</v>
      </c>
      <c r="H353" s="9"/>
      <c r="I353" s="9">
        <v>141339</v>
      </c>
      <c r="J353" s="9"/>
      <c r="K353" s="9">
        <v>210191</v>
      </c>
      <c r="L353" s="9"/>
      <c r="M353" s="9">
        <v>33800</v>
      </c>
      <c r="N353" s="9"/>
      <c r="O353" s="9">
        <v>16022</v>
      </c>
      <c r="P353" s="9"/>
      <c r="Q353" s="9">
        <v>43805</v>
      </c>
      <c r="S353" s="3">
        <v>0</v>
      </c>
      <c r="U353" s="3">
        <v>0</v>
      </c>
      <c r="W353" s="3">
        <v>0</v>
      </c>
      <c r="Y353" s="3">
        <v>0</v>
      </c>
      <c r="AA353" s="3">
        <v>0</v>
      </c>
      <c r="AC353" s="3">
        <f t="shared" si="11"/>
        <v>1384980</v>
      </c>
    </row>
    <row r="354" spans="1:29" s="3" customFormat="1" ht="12">
      <c r="A354" s="9" t="s">
        <v>509</v>
      </c>
      <c r="C354" s="3" t="s">
        <v>56</v>
      </c>
      <c r="E354" s="9">
        <v>48220</v>
      </c>
      <c r="F354" s="9"/>
      <c r="G354" s="9">
        <v>0</v>
      </c>
      <c r="H354" s="9"/>
      <c r="I354" s="9">
        <f>686327-48220-11096</f>
        <v>627011</v>
      </c>
      <c r="J354" s="9"/>
      <c r="K354" s="9">
        <v>0</v>
      </c>
      <c r="L354" s="9"/>
      <c r="M354" s="9">
        <v>0</v>
      </c>
      <c r="N354" s="9"/>
      <c r="O354" s="9">
        <v>0</v>
      </c>
      <c r="P354" s="9"/>
      <c r="Q354" s="9">
        <v>11096</v>
      </c>
      <c r="R354" s="9"/>
      <c r="S354" s="9">
        <v>0</v>
      </c>
      <c r="T354" s="9"/>
      <c r="U354" s="9">
        <v>0</v>
      </c>
      <c r="V354" s="9"/>
      <c r="W354" s="9">
        <v>147503</v>
      </c>
      <c r="Y354" s="3">
        <v>0</v>
      </c>
      <c r="AA354" s="3">
        <v>0</v>
      </c>
      <c r="AC354" s="3">
        <f t="shared" si="11"/>
        <v>833830</v>
      </c>
    </row>
    <row r="355" spans="1:29" s="3" customFormat="1" ht="12">
      <c r="A355" s="3" t="s">
        <v>301</v>
      </c>
      <c r="C355" s="3" t="s">
        <v>302</v>
      </c>
      <c r="E355" s="9">
        <v>22528100</v>
      </c>
      <c r="F355" s="9"/>
      <c r="G355" s="9">
        <v>0</v>
      </c>
      <c r="H355" s="9"/>
      <c r="I355" s="9">
        <v>5812482</v>
      </c>
      <c r="J355" s="9"/>
      <c r="K355" s="9">
        <v>4629134</v>
      </c>
      <c r="L355" s="9"/>
      <c r="M355" s="9">
        <v>0</v>
      </c>
      <c r="N355" s="9"/>
      <c r="O355" s="9">
        <v>0</v>
      </c>
      <c r="P355" s="9"/>
      <c r="Q355" s="9">
        <v>2556893</v>
      </c>
      <c r="R355" s="9"/>
      <c r="S355" s="9">
        <v>13843</v>
      </c>
      <c r="T355" s="9"/>
      <c r="U355" s="9">
        <v>4385</v>
      </c>
      <c r="V355" s="9"/>
      <c r="W355" s="9">
        <v>1600000</v>
      </c>
      <c r="Y355" s="3">
        <v>0</v>
      </c>
      <c r="AA355" s="3">
        <v>0</v>
      </c>
      <c r="AC355" s="3">
        <f t="shared" si="11"/>
        <v>37144837</v>
      </c>
    </row>
    <row r="356" spans="1:29" s="3" customFormat="1" ht="12">
      <c r="A356" s="9" t="s">
        <v>510</v>
      </c>
      <c r="B356" s="9"/>
      <c r="C356" s="9" t="s">
        <v>56</v>
      </c>
      <c r="E356" s="9">
        <v>781603</v>
      </c>
      <c r="F356" s="9"/>
      <c r="G356" s="9">
        <v>0</v>
      </c>
      <c r="H356" s="9"/>
      <c r="I356" s="9">
        <f>1647070-781603-31607</f>
        <v>833860</v>
      </c>
      <c r="J356" s="9"/>
      <c r="K356" s="9">
        <v>0</v>
      </c>
      <c r="L356" s="9"/>
      <c r="M356" s="9">
        <v>0</v>
      </c>
      <c r="N356" s="9"/>
      <c r="O356" s="9">
        <v>0</v>
      </c>
      <c r="P356" s="9"/>
      <c r="Q356" s="9">
        <v>31607</v>
      </c>
      <c r="R356" s="9"/>
      <c r="S356" s="9">
        <v>0</v>
      </c>
      <c r="T356" s="9"/>
      <c r="U356" s="9">
        <v>0</v>
      </c>
      <c r="V356" s="9"/>
      <c r="W356" s="9">
        <v>7500</v>
      </c>
      <c r="X356" s="9"/>
      <c r="Y356" s="9">
        <v>0</v>
      </c>
      <c r="Z356" s="9"/>
      <c r="AA356" s="9">
        <v>0</v>
      </c>
      <c r="AB356" s="9"/>
      <c r="AC356" s="9">
        <f t="shared" si="11"/>
        <v>1654570</v>
      </c>
    </row>
    <row r="357" spans="1:29" s="3" customFormat="1" ht="12">
      <c r="A357" s="3" t="s">
        <v>303</v>
      </c>
      <c r="C357" s="3" t="s">
        <v>27</v>
      </c>
      <c r="E357" s="9">
        <v>846476</v>
      </c>
      <c r="F357" s="9"/>
      <c r="G357" s="9">
        <v>0</v>
      </c>
      <c r="H357" s="9"/>
      <c r="I357" s="9">
        <f>2255706-846476-37314-100000-40020</f>
        <v>1231896</v>
      </c>
      <c r="J357" s="9"/>
      <c r="K357" s="9">
        <v>0</v>
      </c>
      <c r="L357" s="9"/>
      <c r="M357" s="9">
        <v>0</v>
      </c>
      <c r="N357" s="9"/>
      <c r="O357" s="9">
        <v>0</v>
      </c>
      <c r="P357" s="9"/>
      <c r="Q357" s="9">
        <v>37314</v>
      </c>
      <c r="R357" s="9"/>
      <c r="S357" s="9">
        <v>100000</v>
      </c>
      <c r="T357" s="9"/>
      <c r="U357" s="9">
        <v>40020</v>
      </c>
      <c r="V357" s="9"/>
      <c r="W357" s="9">
        <v>110000</v>
      </c>
      <c r="X357" s="9"/>
      <c r="Y357" s="9">
        <v>0</v>
      </c>
      <c r="Z357" s="9"/>
      <c r="AA357" s="9">
        <v>0</v>
      </c>
      <c r="AB357" s="9"/>
      <c r="AC357" s="9">
        <f t="shared" si="11"/>
        <v>2365706</v>
      </c>
    </row>
    <row r="358" spans="1:29" s="3" customFormat="1" ht="12">
      <c r="A358" s="3" t="s">
        <v>367</v>
      </c>
      <c r="C358" s="3" t="s">
        <v>23</v>
      </c>
      <c r="E358" s="9">
        <v>359200</v>
      </c>
      <c r="F358" s="9"/>
      <c r="G358" s="9">
        <v>0</v>
      </c>
      <c r="H358" s="9"/>
      <c r="I358" s="9">
        <f>2653086-359200-265081-97000-28470</f>
        <v>1903335</v>
      </c>
      <c r="J358" s="9"/>
      <c r="K358" s="9">
        <v>0</v>
      </c>
      <c r="L358" s="9"/>
      <c r="M358" s="9">
        <v>0</v>
      </c>
      <c r="N358" s="9"/>
      <c r="O358" s="9">
        <v>0</v>
      </c>
      <c r="P358" s="9"/>
      <c r="Q358" s="9">
        <v>265081</v>
      </c>
      <c r="R358" s="9"/>
      <c r="S358" s="9">
        <v>97000</v>
      </c>
      <c r="T358" s="9"/>
      <c r="U358" s="9">
        <f>27755+715</f>
        <v>28470</v>
      </c>
      <c r="V358" s="9"/>
      <c r="W358" s="9">
        <v>136500</v>
      </c>
      <c r="Y358" s="3">
        <v>0</v>
      </c>
      <c r="AA358" s="3">
        <v>0</v>
      </c>
      <c r="AC358" s="3">
        <f t="shared" si="11"/>
        <v>2789586</v>
      </c>
    </row>
    <row r="359" spans="1:29" s="3" customFormat="1" ht="12">
      <c r="A359" s="3" t="s">
        <v>304</v>
      </c>
      <c r="C359" s="3" t="s">
        <v>50</v>
      </c>
      <c r="E359" s="9">
        <v>307353</v>
      </c>
      <c r="F359" s="9"/>
      <c r="G359" s="9">
        <v>58755</v>
      </c>
      <c r="H359" s="9"/>
      <c r="I359" s="9">
        <v>105953</v>
      </c>
      <c r="J359" s="9"/>
      <c r="K359" s="9">
        <v>42611</v>
      </c>
      <c r="L359" s="9"/>
      <c r="M359" s="9">
        <v>12168</v>
      </c>
      <c r="N359" s="9"/>
      <c r="O359" s="9">
        <v>16918</v>
      </c>
      <c r="Q359" s="3">
        <v>0</v>
      </c>
      <c r="S359" s="3">
        <v>0</v>
      </c>
      <c r="U359" s="3">
        <v>0</v>
      </c>
      <c r="W359" s="3">
        <v>0</v>
      </c>
      <c r="Y359" s="3">
        <v>0</v>
      </c>
      <c r="AA359" s="3">
        <v>0</v>
      </c>
      <c r="AC359" s="3">
        <f t="shared" si="11"/>
        <v>543758</v>
      </c>
    </row>
    <row r="360" spans="1:29" s="3" customFormat="1" ht="12">
      <c r="A360" s="3" t="s">
        <v>305</v>
      </c>
      <c r="C360" s="3" t="s">
        <v>98</v>
      </c>
      <c r="E360" s="9">
        <v>2686764</v>
      </c>
      <c r="F360" s="9"/>
      <c r="G360" s="9">
        <v>871405</v>
      </c>
      <c r="H360" s="9"/>
      <c r="I360" s="9">
        <v>831249</v>
      </c>
      <c r="J360" s="9"/>
      <c r="K360" s="9">
        <v>1089830</v>
      </c>
      <c r="L360" s="9"/>
      <c r="M360" s="9">
        <v>187970</v>
      </c>
      <c r="N360" s="9"/>
      <c r="O360" s="9">
        <v>17406</v>
      </c>
      <c r="P360" s="9"/>
      <c r="Q360" s="9">
        <v>946259</v>
      </c>
      <c r="R360" s="9"/>
      <c r="S360" s="9">
        <v>0</v>
      </c>
      <c r="T360" s="9"/>
      <c r="U360" s="9">
        <v>0</v>
      </c>
      <c r="V360" s="9"/>
      <c r="W360" s="9">
        <v>265000</v>
      </c>
      <c r="Y360" s="3">
        <v>0</v>
      </c>
      <c r="AA360" s="3">
        <v>0</v>
      </c>
      <c r="AC360" s="3">
        <f t="shared" si="11"/>
        <v>6895883</v>
      </c>
    </row>
    <row r="361" spans="1:29" s="3" customFormat="1" ht="12">
      <c r="A361" s="3" t="s">
        <v>396</v>
      </c>
      <c r="C361" s="3" t="s">
        <v>66</v>
      </c>
      <c r="E361" s="9">
        <v>219094</v>
      </c>
      <c r="F361" s="9"/>
      <c r="G361" s="9">
        <v>68025</v>
      </c>
      <c r="H361" s="9"/>
      <c r="I361" s="9">
        <v>51778</v>
      </c>
      <c r="J361" s="9"/>
      <c r="K361" s="9">
        <v>67841</v>
      </c>
      <c r="L361" s="9"/>
      <c r="M361" s="9">
        <v>15037</v>
      </c>
      <c r="N361" s="9"/>
      <c r="O361" s="9">
        <v>17813</v>
      </c>
      <c r="P361" s="9"/>
      <c r="Q361" s="9">
        <v>53053</v>
      </c>
      <c r="S361" s="3">
        <v>0</v>
      </c>
      <c r="U361" s="3">
        <v>0</v>
      </c>
      <c r="W361" s="3">
        <v>0</v>
      </c>
      <c r="Y361" s="3">
        <v>0</v>
      </c>
      <c r="AA361" s="3">
        <v>0</v>
      </c>
      <c r="AC361" s="3">
        <f t="shared" si="11"/>
        <v>492641</v>
      </c>
    </row>
    <row r="362" spans="1:29" s="3" customFormat="1" ht="12">
      <c r="A362" s="3" t="s">
        <v>307</v>
      </c>
      <c r="C362" s="3" t="s">
        <v>59</v>
      </c>
      <c r="E362" s="9">
        <v>2655506</v>
      </c>
      <c r="F362" s="9"/>
      <c r="G362" s="9">
        <v>980995</v>
      </c>
      <c r="H362" s="9"/>
      <c r="I362" s="9">
        <v>571943</v>
      </c>
      <c r="J362" s="9"/>
      <c r="K362" s="9">
        <v>795549</v>
      </c>
      <c r="L362" s="9"/>
      <c r="M362" s="9">
        <v>122876</v>
      </c>
      <c r="N362" s="9"/>
      <c r="O362" s="9">
        <v>33239</v>
      </c>
      <c r="P362" s="9"/>
      <c r="Q362" s="9">
        <v>615820</v>
      </c>
      <c r="R362" s="9"/>
      <c r="S362" s="9">
        <v>236287</v>
      </c>
      <c r="T362" s="9"/>
      <c r="U362" s="9">
        <v>17913</v>
      </c>
      <c r="V362" s="9"/>
      <c r="W362" s="9">
        <v>12110</v>
      </c>
      <c r="Y362" s="3">
        <v>0</v>
      </c>
      <c r="AA362" s="3">
        <v>0</v>
      </c>
      <c r="AC362" s="3">
        <f t="shared" si="11"/>
        <v>6042238</v>
      </c>
    </row>
    <row r="363" spans="1:29" s="3" customFormat="1" ht="12">
      <c r="A363" s="3" t="s">
        <v>397</v>
      </c>
      <c r="C363" s="3" t="s">
        <v>28</v>
      </c>
      <c r="E363" s="9">
        <v>1419775</v>
      </c>
      <c r="F363" s="9"/>
      <c r="G363" s="9">
        <v>0</v>
      </c>
      <c r="H363" s="9"/>
      <c r="I363" s="9">
        <v>418287</v>
      </c>
      <c r="J363" s="9"/>
      <c r="K363" s="9">
        <v>369173</v>
      </c>
      <c r="L363" s="9"/>
      <c r="M363" s="9">
        <v>0</v>
      </c>
      <c r="N363" s="9"/>
      <c r="O363" s="9">
        <v>0</v>
      </c>
      <c r="P363" s="9"/>
      <c r="Q363" s="9">
        <v>73917</v>
      </c>
      <c r="R363" s="9"/>
      <c r="S363" s="9">
        <v>0</v>
      </c>
      <c r="T363" s="9"/>
      <c r="U363" s="9">
        <v>0</v>
      </c>
      <c r="V363" s="9"/>
      <c r="W363" s="9">
        <v>0</v>
      </c>
      <c r="X363" s="9"/>
      <c r="Y363" s="9">
        <v>0</v>
      </c>
      <c r="Z363" s="9"/>
      <c r="AA363" s="9">
        <v>445145</v>
      </c>
      <c r="AC363" s="3">
        <f t="shared" si="11"/>
        <v>2726297</v>
      </c>
    </row>
    <row r="364" spans="1:29" s="3" customFormat="1" ht="12">
      <c r="A364" s="3" t="s">
        <v>309</v>
      </c>
      <c r="C364" s="3" t="s">
        <v>58</v>
      </c>
      <c r="E364" s="9">
        <v>3474514</v>
      </c>
      <c r="F364" s="9"/>
      <c r="G364" s="9">
        <v>1208093</v>
      </c>
      <c r="H364" s="9"/>
      <c r="I364" s="9">
        <v>779249</v>
      </c>
      <c r="J364" s="9"/>
      <c r="K364" s="9">
        <v>1085566</v>
      </c>
      <c r="L364" s="9"/>
      <c r="M364" s="9">
        <v>192883</v>
      </c>
      <c r="N364" s="9"/>
      <c r="O364" s="9">
        <v>7586</v>
      </c>
      <c r="P364" s="9"/>
      <c r="Q364" s="9">
        <v>462229</v>
      </c>
      <c r="R364" s="9"/>
      <c r="S364" s="3">
        <v>0</v>
      </c>
      <c r="U364" s="3">
        <v>0</v>
      </c>
      <c r="W364" s="3">
        <v>0</v>
      </c>
      <c r="Y364" s="3">
        <v>0</v>
      </c>
      <c r="AA364" s="3">
        <v>0</v>
      </c>
      <c r="AC364" s="3">
        <f t="shared" si="11"/>
        <v>7210120</v>
      </c>
    </row>
    <row r="365" spans="1:29" s="3" customFormat="1" ht="12">
      <c r="A365" s="3" t="s">
        <v>536</v>
      </c>
      <c r="C365" s="3" t="s">
        <v>45</v>
      </c>
      <c r="E365" s="3">
        <v>255788.61</v>
      </c>
      <c r="G365" s="3">
        <v>39466.47</v>
      </c>
      <c r="I365" s="3">
        <v>83858.93</v>
      </c>
      <c r="K365" s="3">
        <v>58689.66</v>
      </c>
      <c r="M365" s="3">
        <v>9165.14</v>
      </c>
      <c r="O365" s="3">
        <v>3217.65</v>
      </c>
      <c r="Q365" s="3">
        <v>117743.66</v>
      </c>
      <c r="S365" s="3">
        <v>0</v>
      </c>
      <c r="U365" s="3">
        <v>0</v>
      </c>
      <c r="W365" s="3">
        <v>0</v>
      </c>
      <c r="Y365" s="3">
        <v>0</v>
      </c>
      <c r="AA365" s="3">
        <v>0</v>
      </c>
      <c r="AC365" s="3">
        <f t="shared" si="11"/>
        <v>567930.12</v>
      </c>
    </row>
    <row r="366" spans="1:29" s="3" customFormat="1" ht="12">
      <c r="A366" s="3" t="s">
        <v>310</v>
      </c>
      <c r="C366" s="3" t="s">
        <v>254</v>
      </c>
      <c r="E366" s="9">
        <v>2507748</v>
      </c>
      <c r="F366" s="9"/>
      <c r="G366" s="9">
        <v>740378</v>
      </c>
      <c r="H366" s="9"/>
      <c r="I366" s="9">
        <v>1583636</v>
      </c>
      <c r="J366" s="9"/>
      <c r="K366" s="9">
        <v>993545</v>
      </c>
      <c r="L366" s="9"/>
      <c r="M366" s="9">
        <v>207157</v>
      </c>
      <c r="N366" s="9"/>
      <c r="O366" s="9">
        <v>31429</v>
      </c>
      <c r="P366" s="9"/>
      <c r="Q366" s="9">
        <v>6535734</v>
      </c>
      <c r="R366" s="9"/>
      <c r="S366" s="9">
        <v>210000</v>
      </c>
      <c r="T366" s="9"/>
      <c r="U366" s="9">
        <v>250506</v>
      </c>
      <c r="V366" s="9"/>
      <c r="W366" s="9">
        <v>0</v>
      </c>
      <c r="Y366" s="3">
        <v>0</v>
      </c>
      <c r="AA366" s="3">
        <v>0</v>
      </c>
      <c r="AC366" s="3">
        <f t="shared" si="11"/>
        <v>13060133</v>
      </c>
    </row>
    <row r="367" spans="1:29" s="3" customFormat="1" ht="12">
      <c r="A367" s="3" t="s">
        <v>311</v>
      </c>
      <c r="C367" s="3" t="s">
        <v>68</v>
      </c>
      <c r="E367" s="9">
        <v>177259</v>
      </c>
      <c r="F367" s="9"/>
      <c r="G367" s="9">
        <v>44904</v>
      </c>
      <c r="H367" s="9"/>
      <c r="I367" s="9">
        <v>47462</v>
      </c>
      <c r="J367" s="9"/>
      <c r="K367" s="9">
        <v>46094</v>
      </c>
      <c r="L367" s="9"/>
      <c r="M367" s="9">
        <v>7611</v>
      </c>
      <c r="N367" s="9"/>
      <c r="O367" s="9">
        <v>4662</v>
      </c>
      <c r="P367" s="9"/>
      <c r="Q367" s="9">
        <v>8458</v>
      </c>
      <c r="R367" s="9"/>
      <c r="S367" s="9">
        <v>0</v>
      </c>
      <c r="U367" s="3">
        <v>0</v>
      </c>
      <c r="W367" s="3">
        <v>1262259</v>
      </c>
      <c r="Y367" s="3">
        <v>0</v>
      </c>
      <c r="AA367" s="3">
        <v>0</v>
      </c>
      <c r="AC367" s="3">
        <f t="shared" si="11"/>
        <v>1598709</v>
      </c>
    </row>
    <row r="368" spans="1:29" s="3" customFormat="1" ht="12">
      <c r="A368" s="3" t="s">
        <v>537</v>
      </c>
      <c r="C368" s="3" t="s">
        <v>68</v>
      </c>
      <c r="E368" s="3">
        <v>933742.47</v>
      </c>
      <c r="G368" s="3">
        <v>285705</v>
      </c>
      <c r="I368" s="3">
        <v>299999.81</v>
      </c>
      <c r="K368" s="3">
        <v>303252.52</v>
      </c>
      <c r="M368" s="3">
        <v>37334.16</v>
      </c>
      <c r="O368" s="3">
        <v>4196</v>
      </c>
      <c r="Q368" s="3">
        <v>36420.62</v>
      </c>
      <c r="S368" s="3">
        <v>0</v>
      </c>
      <c r="U368" s="3">
        <v>0</v>
      </c>
      <c r="W368" s="3">
        <v>0</v>
      </c>
      <c r="Y368" s="3">
        <v>0</v>
      </c>
      <c r="AA368" s="3">
        <v>0</v>
      </c>
      <c r="AC368" s="3">
        <f t="shared" si="11"/>
        <v>1900650.58</v>
      </c>
    </row>
    <row r="369" spans="1:29" s="3" customFormat="1" ht="12">
      <c r="A369" s="3" t="s">
        <v>313</v>
      </c>
      <c r="C369" s="3" t="s">
        <v>54</v>
      </c>
      <c r="E369" s="3">
        <v>171128.88</v>
      </c>
      <c r="G369" s="3">
        <v>52609.86</v>
      </c>
      <c r="I369" s="3">
        <v>49173.48</v>
      </c>
      <c r="K369" s="3">
        <v>88390.01</v>
      </c>
      <c r="M369" s="3">
        <v>6195.62</v>
      </c>
      <c r="O369" s="3">
        <v>11346</v>
      </c>
      <c r="Q369" s="3">
        <v>2769.83</v>
      </c>
      <c r="S369" s="3">
        <v>0</v>
      </c>
      <c r="U369" s="3">
        <v>0</v>
      </c>
      <c r="W369" s="3">
        <v>0</v>
      </c>
      <c r="Y369" s="3">
        <v>0</v>
      </c>
      <c r="AA369" s="3">
        <v>0</v>
      </c>
      <c r="AC369" s="3">
        <f t="shared" si="11"/>
        <v>381613.68</v>
      </c>
    </row>
    <row r="370" spans="1:29" s="3" customFormat="1" ht="12">
      <c r="A370" s="3" t="s">
        <v>314</v>
      </c>
      <c r="C370" s="3" t="s">
        <v>68</v>
      </c>
      <c r="E370" s="3">
        <v>220825.88</v>
      </c>
      <c r="G370" s="3">
        <v>76875.64</v>
      </c>
      <c r="I370" s="3">
        <v>72801.02</v>
      </c>
      <c r="K370" s="3">
        <v>97800.51</v>
      </c>
      <c r="M370" s="3">
        <v>15102.92</v>
      </c>
      <c r="O370" s="3">
        <v>3205.03</v>
      </c>
      <c r="Q370" s="3">
        <v>4708.59</v>
      </c>
      <c r="S370" s="3">
        <v>0</v>
      </c>
      <c r="U370" s="3">
        <v>0</v>
      </c>
      <c r="W370" s="3">
        <v>0</v>
      </c>
      <c r="Y370" s="3">
        <v>0</v>
      </c>
      <c r="AA370" s="3">
        <v>3992.15</v>
      </c>
      <c r="AC370" s="3">
        <f t="shared" si="11"/>
        <v>495311.7400000001</v>
      </c>
    </row>
    <row r="371" spans="1:29" s="3" customFormat="1" ht="12">
      <c r="A371" s="3" t="s">
        <v>538</v>
      </c>
      <c r="C371" s="3" t="s">
        <v>16</v>
      </c>
      <c r="E371" s="3">
        <v>599567.13</v>
      </c>
      <c r="G371" s="3">
        <v>237918.83</v>
      </c>
      <c r="I371" s="3">
        <v>123381.17</v>
      </c>
      <c r="K371" s="3">
        <v>238002.59</v>
      </c>
      <c r="M371" s="3">
        <v>18299.56</v>
      </c>
      <c r="O371" s="3">
        <v>13394.81</v>
      </c>
      <c r="Q371" s="3">
        <v>20201</v>
      </c>
      <c r="S371" s="3">
        <v>0</v>
      </c>
      <c r="U371" s="3">
        <v>0</v>
      </c>
      <c r="W371" s="3">
        <v>550000</v>
      </c>
      <c r="Y371" s="3">
        <v>0</v>
      </c>
      <c r="AA371" s="3">
        <v>0</v>
      </c>
      <c r="AC371" s="3">
        <f t="shared" si="11"/>
        <v>1800765.09</v>
      </c>
    </row>
    <row r="372" spans="1:29" s="3" customFormat="1" ht="12">
      <c r="A372" s="3" t="s">
        <v>315</v>
      </c>
      <c r="C372" s="3" t="s">
        <v>95</v>
      </c>
      <c r="E372" s="9">
        <v>565659</v>
      </c>
      <c r="F372" s="9"/>
      <c r="G372" s="9">
        <v>126887</v>
      </c>
      <c r="H372" s="9"/>
      <c r="I372" s="9">
        <v>94751</v>
      </c>
      <c r="J372" s="9"/>
      <c r="K372" s="9">
        <f>81077+25</f>
        <v>81102</v>
      </c>
      <c r="L372" s="9"/>
      <c r="M372" s="9">
        <v>22136</v>
      </c>
      <c r="N372" s="9"/>
      <c r="O372" s="9">
        <v>33203</v>
      </c>
      <c r="P372" s="9"/>
      <c r="Q372" s="9">
        <f>3829+9019</f>
        <v>12848</v>
      </c>
      <c r="R372" s="9"/>
      <c r="S372" s="9">
        <v>0</v>
      </c>
      <c r="U372" s="3">
        <v>0</v>
      </c>
      <c r="W372" s="3">
        <v>0</v>
      </c>
      <c r="Y372" s="3">
        <v>0</v>
      </c>
      <c r="AA372" s="3">
        <v>0</v>
      </c>
      <c r="AC372" s="3">
        <f t="shared" si="11"/>
        <v>936586</v>
      </c>
    </row>
    <row r="373" spans="1:29" s="3" customFormat="1" ht="12">
      <c r="A373" s="3" t="s">
        <v>316</v>
      </c>
      <c r="C373" s="3" t="s">
        <v>230</v>
      </c>
      <c r="E373" s="9">
        <v>924814</v>
      </c>
      <c r="F373" s="9"/>
      <c r="G373" s="9">
        <v>263380</v>
      </c>
      <c r="H373" s="9"/>
      <c r="I373" s="9">
        <v>227850</v>
      </c>
      <c r="J373" s="9"/>
      <c r="K373" s="9">
        <v>274960</v>
      </c>
      <c r="L373" s="9"/>
      <c r="M373" s="9">
        <v>57705</v>
      </c>
      <c r="N373" s="9"/>
      <c r="O373" s="9">
        <v>22180</v>
      </c>
      <c r="P373" s="9"/>
      <c r="Q373" s="9">
        <v>154158</v>
      </c>
      <c r="R373" s="9"/>
      <c r="S373" s="9">
        <v>0</v>
      </c>
      <c r="U373" s="3">
        <v>0</v>
      </c>
      <c r="W373" s="3">
        <v>0</v>
      </c>
      <c r="Y373" s="3">
        <v>0</v>
      </c>
      <c r="AA373" s="3">
        <v>0</v>
      </c>
      <c r="AC373" s="3">
        <f t="shared" si="11"/>
        <v>1925047</v>
      </c>
    </row>
    <row r="374" spans="1:29" s="3" customFormat="1" ht="12">
      <c r="A374" s="3" t="s">
        <v>317</v>
      </c>
      <c r="C374" s="3" t="s">
        <v>16</v>
      </c>
      <c r="E374" s="9">
        <v>644788</v>
      </c>
      <c r="F374" s="9"/>
      <c r="G374" s="9">
        <v>0</v>
      </c>
      <c r="H374" s="9"/>
      <c r="I374" s="9">
        <f>4696883-644788</f>
        <v>4052095</v>
      </c>
      <c r="K374" s="3">
        <v>0</v>
      </c>
      <c r="M374" s="3">
        <v>0</v>
      </c>
      <c r="O374" s="3">
        <v>0</v>
      </c>
      <c r="Q374" s="3">
        <v>0</v>
      </c>
      <c r="S374" s="3">
        <v>0</v>
      </c>
      <c r="U374" s="3">
        <v>0</v>
      </c>
      <c r="W374" s="3">
        <v>106560</v>
      </c>
      <c r="Y374" s="3">
        <v>0</v>
      </c>
      <c r="AA374" s="3">
        <v>0</v>
      </c>
      <c r="AC374" s="3">
        <f t="shared" si="11"/>
        <v>4803443</v>
      </c>
    </row>
    <row r="375" spans="1:29" s="3" customFormat="1" ht="12">
      <c r="A375" s="3" t="s">
        <v>318</v>
      </c>
      <c r="C375" s="3" t="s">
        <v>72</v>
      </c>
      <c r="E375" s="3">
        <v>401897.15</v>
      </c>
      <c r="G375" s="3">
        <v>114678.4</v>
      </c>
      <c r="I375" s="3">
        <v>157966.06</v>
      </c>
      <c r="K375" s="3">
        <v>78706.67</v>
      </c>
      <c r="M375" s="3">
        <v>35891.12</v>
      </c>
      <c r="O375" s="3">
        <v>7378.46</v>
      </c>
      <c r="Q375" s="3">
        <v>10128.95</v>
      </c>
      <c r="S375" s="3">
        <v>0</v>
      </c>
      <c r="U375" s="3">
        <v>0</v>
      </c>
      <c r="W375" s="3">
        <v>0</v>
      </c>
      <c r="Y375" s="3">
        <v>0</v>
      </c>
      <c r="AA375" s="3">
        <v>0</v>
      </c>
      <c r="AC375" s="3">
        <f t="shared" si="11"/>
        <v>806646.81</v>
      </c>
    </row>
    <row r="376" spans="1:29" s="3" customFormat="1" ht="12">
      <c r="A376" s="3" t="s">
        <v>319</v>
      </c>
      <c r="C376" s="3" t="s">
        <v>68</v>
      </c>
      <c r="E376" s="9">
        <v>949989</v>
      </c>
      <c r="F376" s="9"/>
      <c r="G376" s="9">
        <v>256575</v>
      </c>
      <c r="H376" s="9"/>
      <c r="I376" s="9">
        <v>372274</v>
      </c>
      <c r="J376" s="9"/>
      <c r="K376" s="9">
        <v>305557</v>
      </c>
      <c r="L376" s="9"/>
      <c r="M376" s="9">
        <v>47903</v>
      </c>
      <c r="N376" s="9"/>
      <c r="O376" s="9">
        <v>15796</v>
      </c>
      <c r="P376" s="9"/>
      <c r="Q376" s="9">
        <v>272762</v>
      </c>
      <c r="R376" s="9"/>
      <c r="S376" s="9">
        <v>44284</v>
      </c>
      <c r="T376" s="9"/>
      <c r="U376" s="9">
        <v>37864</v>
      </c>
      <c r="V376" s="9"/>
      <c r="W376" s="9">
        <v>0</v>
      </c>
      <c r="X376" s="9"/>
      <c r="Y376" s="9">
        <v>0</v>
      </c>
      <c r="Z376" s="9"/>
      <c r="AA376" s="9">
        <v>0</v>
      </c>
      <c r="AC376" s="3">
        <f t="shared" si="11"/>
        <v>2303004</v>
      </c>
    </row>
    <row r="377" spans="1:29" s="3" customFormat="1" ht="12">
      <c r="A377" s="3" t="s">
        <v>320</v>
      </c>
      <c r="C377" s="3" t="s">
        <v>84</v>
      </c>
      <c r="E377" s="3">
        <v>161471.88</v>
      </c>
      <c r="G377" s="3">
        <v>38821.5</v>
      </c>
      <c r="I377" s="3">
        <v>47584.79</v>
      </c>
      <c r="K377" s="3">
        <v>64761.12</v>
      </c>
      <c r="M377" s="3">
        <v>8980.97</v>
      </c>
      <c r="O377" s="3">
        <v>1153</v>
      </c>
      <c r="Q377" s="3">
        <v>14028.9</v>
      </c>
      <c r="S377" s="3">
        <v>0</v>
      </c>
      <c r="U377" s="3">
        <v>0</v>
      </c>
      <c r="W377" s="3">
        <v>0</v>
      </c>
      <c r="Y377" s="3">
        <v>0</v>
      </c>
      <c r="AA377" s="3">
        <v>0</v>
      </c>
      <c r="AC377" s="3">
        <f t="shared" si="11"/>
        <v>336802.16000000003</v>
      </c>
    </row>
    <row r="378" spans="1:29" s="3" customFormat="1" ht="12">
      <c r="A378" s="3" t="s">
        <v>321</v>
      </c>
      <c r="C378" s="3" t="s">
        <v>73</v>
      </c>
      <c r="E378" s="3">
        <v>99093.03</v>
      </c>
      <c r="G378" s="3">
        <v>15020.43</v>
      </c>
      <c r="I378" s="3">
        <v>21241.61</v>
      </c>
      <c r="K378" s="3">
        <v>36623.34</v>
      </c>
      <c r="M378" s="3">
        <v>2900.11</v>
      </c>
      <c r="O378" s="3">
        <v>389</v>
      </c>
      <c r="Q378" s="3">
        <v>1841.87</v>
      </c>
      <c r="S378" s="3">
        <v>0</v>
      </c>
      <c r="U378" s="3">
        <v>0</v>
      </c>
      <c r="W378" s="3">
        <v>0</v>
      </c>
      <c r="Y378" s="3">
        <v>0</v>
      </c>
      <c r="AA378" s="3">
        <v>0</v>
      </c>
      <c r="AC378" s="3">
        <f t="shared" si="11"/>
        <v>177109.38999999998</v>
      </c>
    </row>
    <row r="379" spans="1:29" s="3" customFormat="1" ht="12">
      <c r="A379" s="3" t="s">
        <v>322</v>
      </c>
      <c r="C379" s="3" t="s">
        <v>98</v>
      </c>
      <c r="E379" s="3">
        <v>1359094</v>
      </c>
      <c r="G379" s="3">
        <v>0</v>
      </c>
      <c r="I379" s="3">
        <f>8743624-1359094-1601557</f>
        <v>5782973</v>
      </c>
      <c r="K379" s="3">
        <v>0</v>
      </c>
      <c r="M379" s="3">
        <v>0</v>
      </c>
      <c r="O379" s="3">
        <v>0</v>
      </c>
      <c r="Q379" s="3">
        <v>1601557</v>
      </c>
      <c r="S379" s="3">
        <v>0</v>
      </c>
      <c r="U379" s="3">
        <v>0</v>
      </c>
      <c r="W379" s="3">
        <v>3856220</v>
      </c>
      <c r="Y379" s="3">
        <v>0</v>
      </c>
      <c r="AA379" s="3">
        <v>0</v>
      </c>
      <c r="AC379" s="3">
        <f t="shared" si="11"/>
        <v>12599844</v>
      </c>
    </row>
    <row r="380" spans="1:29" s="3" customFormat="1" ht="12">
      <c r="A380" s="3" t="s">
        <v>539</v>
      </c>
      <c r="C380" s="3" t="s">
        <v>58</v>
      </c>
      <c r="E380" s="3">
        <v>885289.06</v>
      </c>
      <c r="G380" s="3">
        <v>200099.94</v>
      </c>
      <c r="I380" s="3">
        <v>178036.12</v>
      </c>
      <c r="K380" s="3">
        <v>279532.34</v>
      </c>
      <c r="M380" s="3">
        <v>34332.22</v>
      </c>
      <c r="O380" s="3">
        <v>55361.65</v>
      </c>
      <c r="Q380" s="3">
        <v>39351.29</v>
      </c>
      <c r="S380" s="3">
        <v>0</v>
      </c>
      <c r="U380" s="3">
        <v>0</v>
      </c>
      <c r="W380" s="3">
        <v>0</v>
      </c>
      <c r="Y380" s="3">
        <v>0</v>
      </c>
      <c r="AA380" s="3">
        <v>0</v>
      </c>
      <c r="AC380" s="3">
        <f t="shared" si="11"/>
        <v>1672002.62</v>
      </c>
    </row>
    <row r="381" spans="1:54" s="3" customFormat="1" ht="12">
      <c r="A381" s="9"/>
      <c r="B381" s="9"/>
      <c r="C381" s="9"/>
      <c r="D381" s="9"/>
      <c r="AB381" s="9"/>
      <c r="AC381" s="21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</row>
    <row r="382" s="3" customFormat="1" ht="12">
      <c r="M382" s="21"/>
    </row>
    <row r="383" s="46" customFormat="1" ht="12.75"/>
    <row r="384" s="46" customFormat="1" ht="12.75"/>
    <row r="385" s="46" customFormat="1" ht="12.75"/>
    <row r="386" s="46" customFormat="1" ht="12.75"/>
    <row r="387" s="46" customFormat="1" ht="12.75"/>
    <row r="388" s="46" customFormat="1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</sheetData>
  <sheetProtection/>
  <printOptions/>
  <pageMargins left="0.75" right="0.75" top="0.5" bottom="0.5" header="0" footer="0.3"/>
  <pageSetup firstPageNumber="32" useFirstPageNumber="1" fitToHeight="3" fitToWidth="2" horizontalDpi="300" verticalDpi="300" orientation="portrait" pageOrder="overThenDown" scale="78" r:id="rId1"/>
  <headerFooter scaleWithDoc="0" alignWithMargins="0">
    <oddFooter>&amp;C&amp;"Times New Roman,Regular"&amp;11&amp;P</oddFooter>
  </headerFooter>
  <rowBreaks count="2" manualBreakCount="2">
    <brk id="148" max="28" man="1"/>
    <brk id="339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 of State of Ohio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 O. Myser</dc:creator>
  <cp:keywords/>
  <dc:description/>
  <cp:lastModifiedBy>Jeffrey G .Wilcheck</cp:lastModifiedBy>
  <cp:lastPrinted>2009-02-25T14:26:39Z</cp:lastPrinted>
  <dcterms:created xsi:type="dcterms:W3CDTF">2007-01-22T17:20:47Z</dcterms:created>
  <dcterms:modified xsi:type="dcterms:W3CDTF">2009-02-25T14:26:51Z</dcterms:modified>
  <cp:category/>
  <cp:version/>
  <cp:contentType/>
  <cp:contentStatus/>
</cp:coreProperties>
</file>