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tabRatio="769" firstSheet="3" activeTab="12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andfill" sheetId="12" r:id="rId12"/>
    <sheet name="LT _Lia - GA" sheetId="13" r:id="rId13"/>
  </sheets>
  <externalReferences>
    <externalReference r:id="rId16"/>
  </externalReferences>
  <definedNames>
    <definedName name="_xlnm.Print_Area" localSheetId="3">'Gen Fd BS'!$A$9:$O$100</definedName>
    <definedName name="_xlnm.Print_Area" localSheetId="6">'GenExp'!$A$11:$AC$100</definedName>
    <definedName name="_xlnm.Print_Area" localSheetId="5">'GenRev'!$A$11:$Q$101</definedName>
    <definedName name="_xlnm.Print_Area" localSheetId="4">'Gov Fd BS'!$A$1:$T$98</definedName>
    <definedName name="_xlnm.Print_Area" localSheetId="7">'Gov Fd Rv'!$A$11:$Q$101</definedName>
    <definedName name="_xlnm.Print_Area" localSheetId="8">'Gov Fnd Exp'!$A$1:$AC$98</definedName>
    <definedName name="_xlnm.Print_Area" localSheetId="11">'Landfill'!$A$1:$BG$100</definedName>
    <definedName name="_xlnm.Print_Area" localSheetId="12">'LT _Lia - GA'!$A$11:$Q$100</definedName>
    <definedName name="_xlnm.Print_Area" localSheetId="10">'Sewer 1'!$A$1:$BK$95</definedName>
    <definedName name="_xlnm.Print_Area" localSheetId="2">'St of Activities - GA Exp'!$A$1:$Y$99</definedName>
    <definedName name="_xlnm.Print_Area" localSheetId="1">'St of Activities - GA Rev'!$A$1:$Y$99</definedName>
    <definedName name="_xlnm.Print_Area" localSheetId="0">'St of Net Assets - GA'!$A$1:$W$98</definedName>
    <definedName name="_xlnm.Print_Area" localSheetId="9">'Water 1'!$A$1:$BJ$98</definedName>
    <definedName name="_xlnm.Print_Titles" localSheetId="3">'Gen Fd BS'!$1:$9</definedName>
    <definedName name="_xlnm.Print_Titles" localSheetId="6">'GenExp'!$1:$9</definedName>
    <definedName name="_xlnm.Print_Titles" localSheetId="5">'GenRev'!$1:$9</definedName>
    <definedName name="_xlnm.Print_Titles" localSheetId="4">'Gov Fd BS'!$1:$10</definedName>
    <definedName name="_xlnm.Print_Titles" localSheetId="7">'Gov Fd Rv'!$1:$9</definedName>
    <definedName name="_xlnm.Print_Titles" localSheetId="8">'Gov Fnd Exp'!$1:$9</definedName>
    <definedName name="_xlnm.Print_Titles" localSheetId="12">'LT _Lia - GA'!$1:$9</definedName>
    <definedName name="_xlnm.Print_Titles" localSheetId="10">'Sewer 1'!$1:$9</definedName>
    <definedName name="_xlnm.Print_Titles" localSheetId="2">'St of Activities - GA Exp'!$1:$9</definedName>
    <definedName name="_xlnm.Print_Titles" localSheetId="1">'St of Activities - GA Rev'!$1:$9</definedName>
    <definedName name="_xlnm.Print_Titles" localSheetId="0">'St of Net Assets - GA'!$1:$9</definedName>
    <definedName name="_xlnm.Print_Titles" localSheetId="9">'Water 1'!$1:$9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<sst xmlns="http://schemas.openxmlformats.org/spreadsheetml/2006/main" count="2210" uniqueCount="257">
  <si>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</si>
  <si>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</si>
  <si>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</si>
  <si>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</si>
  <si>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</si>
  <si>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</si>
  <si>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</si>
  <si>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</si>
  <si>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</si>
  <si>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</si>
  <si>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</si>
  <si>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</si>
  <si>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</si>
  <si>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</si>
  <si>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</si>
  <si>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</si>
  <si>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</si>
  <si>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</si>
  <si>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</si>
  <si>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</si>
  <si>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</si>
  <si>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</si>
  <si>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</si>
  <si>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</si>
  <si>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</si>
  <si>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</si>
  <si>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</si>
  <si>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</si>
  <si>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</si>
  <si>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</si>
  <si>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</si>
  <si>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</si>
  <si>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</si>
  <si>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</si>
  <si>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</si>
  <si>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</si>
  <si>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</si>
  <si>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</si>
  <si>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</si>
  <si>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</si>
  <si>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</si>
  <si>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</si>
  <si>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</si>
  <si>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</si>
  <si>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</si>
  <si>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</si>
  <si>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</si>
  <si>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</si>
  <si>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</si>
  <si>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</si>
  <si>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</si>
  <si>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</si>
  <si>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</si>
  <si>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</si>
  <si>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</si>
  <si>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</si>
  <si>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</si>
  <si>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</si>
  <si>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</si>
  <si>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</si>
  <si>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</si>
  <si>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</si>
  <si>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</si>
  <si>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</si>
  <si>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</si>
  <si>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</si>
  <si>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</si>
  <si>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</si>
  <si>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</si>
  <si>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</si>
  <si>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</si>
  <si>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</si>
  <si>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</si>
  <si>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</si>
  <si>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</si>
  <si>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</si>
  <si>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</si>
  <si>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</si>
  <si>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</si>
  <si>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</si>
  <si>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</si>
  <si>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</si>
  <si>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</si>
  <si>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</si>
  <si>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</si>
  <si>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</si>
  <si>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</si>
  <si>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</si>
  <si>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</si>
  <si>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</si>
  <si>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</si>
  <si>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</si>
  <si>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</si>
  <si>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</si>
  <si>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</si>
  <si>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</si>
  <si>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</si>
  <si>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</si>
  <si>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</si>
  <si>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</si>
  <si>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</si>
  <si>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</si>
  <si>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</si>
  <si>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</si>
  <si>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</si>
  <si>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</si>
  <si>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</si>
  <si>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</si>
  <si>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</si>
  <si>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</si>
  <si>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</si>
  <si>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</si>
  <si>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</si>
  <si>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</si>
  <si>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</si>
  <si>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</si>
  <si>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</si>
  <si>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Reserved</t>
  </si>
  <si>
    <t>Cash and</t>
  </si>
  <si>
    <t>Deferred</t>
  </si>
  <si>
    <t>Fund</t>
  </si>
  <si>
    <t>Investments</t>
  </si>
  <si>
    <t>Liabilities</t>
  </si>
  <si>
    <t>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</si>
  <si>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</si>
  <si>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</si>
  <si>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</si>
  <si>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</si>
  <si>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</si>
  <si>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</si>
  <si>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</si>
  <si>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</si>
  <si>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</si>
  <si>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>Richland (GASB 34)</t>
  </si>
  <si>
    <t>Lucas (GASB 34)</t>
  </si>
  <si>
    <t>Current</t>
  </si>
  <si>
    <t>Wayne (GASB 34)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</si>
  <si>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</si>
  <si>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</si>
  <si>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</si>
  <si>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</si>
  <si>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</si>
  <si>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</si>
  <si>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</si>
  <si>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</si>
  <si>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</si>
  <si>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</si>
  <si>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</si>
  <si>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</si>
  <si>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</si>
  <si>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</si>
  <si>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</si>
  <si>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</si>
  <si>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</si>
  <si>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</si>
  <si>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</si>
  <si>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</si>
  <si>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</si>
  <si>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</si>
  <si>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</si>
  <si>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</si>
  <si>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</si>
  <si>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</si>
  <si>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</si>
  <si>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</si>
  <si>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</si>
  <si>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</si>
  <si>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</si>
  <si>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</si>
  <si>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Hardin  (cash)</t>
  </si>
  <si>
    <t>Lawrence (cash)</t>
  </si>
  <si>
    <t>Meigs (cash)</t>
  </si>
  <si>
    <t>Champaign  (cash)</t>
  </si>
  <si>
    <t>Champaign (cash)</t>
  </si>
  <si>
    <t>Williams (cash)</t>
  </si>
  <si>
    <t>Wyandot (cash)</t>
  </si>
  <si>
    <t>Putnam (cash)</t>
  </si>
  <si>
    <t>General and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</si>
  <si>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</si>
  <si>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</si>
  <si>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</si>
  <si>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</si>
  <si>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</si>
  <si>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</si>
  <si>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</si>
  <si>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</si>
  <si>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</si>
  <si>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</si>
  <si>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</si>
  <si>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</si>
  <si>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</si>
  <si>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</si>
  <si>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</si>
  <si>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</si>
  <si>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</si>
  <si>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</si>
  <si>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Sewer Enterprise Fund</t>
  </si>
  <si>
    <t>Landfill Enterprise Fund</t>
  </si>
  <si>
    <t>Revenues from the Statement of Activities</t>
  </si>
  <si>
    <t>Summary Data from the General Fund Balance Sheet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</si>
  <si>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</si>
  <si>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</si>
  <si>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</si>
  <si>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Governmental Fund Revenues</t>
  </si>
  <si>
    <t>Due in More</t>
  </si>
  <si>
    <t>Than 1 Year</t>
  </si>
  <si>
    <t>balanced if =0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</si>
  <si>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</si>
  <si>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</si>
  <si>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</si>
  <si>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</si>
  <si>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</si>
  <si>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</si>
  <si>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</si>
  <si>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</si>
  <si>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</si>
  <si>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</si>
  <si>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</si>
  <si>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</si>
  <si>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</si>
  <si>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</si>
  <si>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</si>
  <si>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</si>
  <si>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 xml:space="preserve">Lawrence </t>
  </si>
  <si>
    <t xml:space="preserve">Ottawa </t>
  </si>
  <si>
    <t xml:space="preserve">  </t>
  </si>
  <si>
    <t xml:space="preserve">Greene </t>
  </si>
  <si>
    <t xml:space="preserve"> </t>
  </si>
  <si>
    <t>Taxes (1)</t>
  </si>
  <si>
    <t>(1) May include sales and other taxes if not presented separately</t>
  </si>
  <si>
    <t>(Expenses)</t>
  </si>
  <si>
    <t>Change in</t>
  </si>
  <si>
    <t>Net</t>
  </si>
  <si>
    <t>Expenses from the Statement of Activities</t>
  </si>
  <si>
    <t>Summary Data from the Governmental Fund Balance Sheet</t>
  </si>
  <si>
    <t>Unreserved</t>
  </si>
  <si>
    <t xml:space="preserve">Lawrence (cash) </t>
  </si>
  <si>
    <t>Adams (cash)</t>
  </si>
  <si>
    <t>Butler</t>
  </si>
  <si>
    <t>Fayette (cash)</t>
  </si>
  <si>
    <t>Brown (cash)</t>
  </si>
  <si>
    <t>Jackson (cash)</t>
  </si>
  <si>
    <t xml:space="preserve">Clermont </t>
  </si>
  <si>
    <t xml:space="preserve">Crawford </t>
  </si>
  <si>
    <t>Guernsey (cash)</t>
  </si>
  <si>
    <t>Hamilton (cash)</t>
  </si>
  <si>
    <t xml:space="preserve">Lorain </t>
  </si>
  <si>
    <t>Program Revenues</t>
  </si>
  <si>
    <t xml:space="preserve">Butler </t>
  </si>
  <si>
    <t>(Continued)</t>
  </si>
  <si>
    <t>Statement of Revenues, Expenses, and Changes in Net Assets</t>
  </si>
  <si>
    <t>General Long-Term Obligations</t>
  </si>
  <si>
    <t>Darke (cash)</t>
  </si>
  <si>
    <t>As of December 31, 2009</t>
  </si>
  <si>
    <t>For the Year Ended December 31, 2010</t>
  </si>
  <si>
    <t>For the Year ended December 31, 2010</t>
  </si>
  <si>
    <t>Fro the Year Ended December 31,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</si>
</sst>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#,##0.0"/>
    <numFmt numFmtId="171" formatCode="0_);\(0\)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43" applyNumberFormat="1" applyFont="1" applyBorder="1" applyAlignment="1">
      <alignment horizontal="right"/>
    </xf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0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4" fillId="0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Alignment="1">
      <alignment/>
    </xf>
    <xf numFmtId="5" fontId="4" fillId="0" borderId="0" xfId="43" applyNumberFormat="1" applyFont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7" fontId="4" fillId="0" borderId="8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 quotePrefix="1">
      <alignment horizontal="centerContinuous"/>
    </xf>
    <xf numFmtId="37" fontId="4" fillId="0" borderId="9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5" fontId="4" fillId="0" borderId="0" xfId="43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43" applyNumberFormat="1" applyFont="1" applyFill="1" applyBorder="1" applyAlignment="1">
      <alignment horizontal="right"/>
    </xf>
    <xf numFmtId="3" fontId="0" fillId="0" borderId="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3" fontId="4" fillId="0" borderId="0" xfId="43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 vertical="top"/>
    </xf>
    <xf numFmtId="3" fontId="4" fillId="0" borderId="0" xfId="45" applyNumberFormat="1" applyFont="1" applyFill="1" applyBorder="1" applyAlignment="1">
      <alignment/>
    </xf>
    <xf numFmtId="5" fontId="4" fillId="0" borderId="0" xfId="45" applyFont="1" applyFill="1" applyBorder="1" applyAlignment="1">
      <alignment/>
    </xf>
    <xf numFmtId="3" fontId="4" fillId="0" borderId="0" xfId="43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5" fontId="4" fillId="0" borderId="0" xfId="43" applyNumberFormat="1" applyFont="1" applyFill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5" fillId="0" borderId="0" xfId="43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" fontId="0" fillId="0" borderId="0" xfId="43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0" xfId="43" applyNumberFormat="1" applyFont="1" applyFill="1" applyBorder="1" applyAlignment="1">
      <alignment/>
    </xf>
    <xf numFmtId="37" fontId="0" fillId="0" borderId="0" xfId="43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43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43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0" fillId="0" borderId="0" xfId="43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10" fillId="0" borderId="0" xfId="43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Continuous"/>
    </xf>
    <xf numFmtId="0" fontId="9" fillId="0" borderId="0" xfId="0" applyFont="1" applyFill="1" applyBorder="1" applyAlignment="1">
      <alignment/>
    </xf>
    <xf numFmtId="3" fontId="9" fillId="0" borderId="0" xfId="43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43" applyFont="1" applyFill="1" applyBorder="1" applyAlignment="1">
      <alignment/>
    </xf>
    <xf numFmtId="3" fontId="4" fillId="0" borderId="0" xfId="43" applyFont="1" applyFill="1" applyBorder="1" applyAlignment="1">
      <alignment horizontal="center"/>
    </xf>
    <xf numFmtId="3" fontId="0" fillId="0" borderId="0" xfId="43" applyFont="1" applyFill="1" applyBorder="1" applyAlignment="1">
      <alignment/>
    </xf>
    <xf numFmtId="3" fontId="4" fillId="0" borderId="9" xfId="43" applyFont="1" applyFill="1" applyBorder="1" applyAlignment="1">
      <alignment horizontal="center"/>
    </xf>
    <xf numFmtId="3" fontId="4" fillId="0" borderId="0" xfId="43" applyFont="1" applyFill="1" applyBorder="1" applyAlignment="1">
      <alignment horizontal="right"/>
    </xf>
    <xf numFmtId="3" fontId="0" fillId="0" borderId="0" xfId="43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/>
    </xf>
    <xf numFmtId="5" fontId="5" fillId="0" borderId="0" xfId="43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7" fontId="11" fillId="0" borderId="0" xfId="0" applyNumberFormat="1" applyFont="1" applyFill="1" applyAlignment="1">
      <alignment/>
    </xf>
    <xf numFmtId="5" fontId="4" fillId="0" borderId="0" xfId="43" applyNumberFormat="1" applyFont="1" applyFill="1" applyAlignment="1">
      <alignment horizontal="right"/>
    </xf>
    <xf numFmtId="5" fontId="0" fillId="0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center" wrapText="1"/>
    </xf>
    <xf numFmtId="5" fontId="4" fillId="0" borderId="0" xfId="0" applyNumberFormat="1" applyFont="1" applyFill="1" applyBorder="1" applyAlignment="1">
      <alignment horizontal="center" wrapText="1"/>
    </xf>
    <xf numFmtId="5" fontId="4" fillId="0" borderId="0" xfId="0" applyNumberFormat="1" applyFont="1" applyBorder="1" applyAlignment="1">
      <alignment/>
    </xf>
    <xf numFmtId="5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43" applyNumberFormat="1" applyFont="1" applyFill="1" applyBorder="1" applyAlignment="1">
      <alignment horizontal="right"/>
    </xf>
    <xf numFmtId="37" fontId="4" fillId="0" borderId="0" xfId="43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43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37" fontId="4" fillId="0" borderId="0" xfId="43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3" fontId="4" fillId="0" borderId="0" xfId="45" applyNumberFormat="1" applyFont="1" applyFill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7" fontId="4" fillId="33" borderId="0" xfId="43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 vertical="top"/>
    </xf>
    <xf numFmtId="3" fontId="4" fillId="33" borderId="0" xfId="43" applyFont="1" applyFill="1" applyBorder="1" applyAlignment="1">
      <alignment/>
    </xf>
    <xf numFmtId="37" fontId="4" fillId="33" borderId="0" xfId="43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5" fillId="33" borderId="0" xfId="43" applyFont="1" applyFill="1" applyBorder="1" applyAlignment="1">
      <alignment/>
    </xf>
    <xf numFmtId="3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4" fillId="0" borderId="9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Myser\Local%20Settings\Temporary%20Internet%20Files\Content.Outlook\N4M6UME4\2008%20Countie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Sewer 1"/>
      <sheetName val="Landfill"/>
      <sheetName val="LT _Lia - GA"/>
    </sheetNames>
    <sheetDataSet>
      <sheetData sheetId="3">
        <row r="49">
          <cell r="O49">
            <v>0</v>
          </cell>
        </row>
      </sheetData>
      <sheetData sheetId="4">
        <row r="49">
          <cell r="O49">
            <v>0</v>
          </cell>
        </row>
        <row r="53">
          <cell r="O53">
            <v>0</v>
          </cell>
        </row>
        <row r="58">
          <cell r="O58">
            <v>0</v>
          </cell>
        </row>
        <row r="62">
          <cell r="O62">
            <v>0</v>
          </cell>
        </row>
        <row r="63">
          <cell r="O63">
            <v>0</v>
          </cell>
        </row>
      </sheetData>
      <sheetData sheetId="5">
        <row r="49">
          <cell r="Q49">
            <v>0</v>
          </cell>
          <cell r="S49">
            <v>0</v>
          </cell>
        </row>
      </sheetData>
      <sheetData sheetId="6">
        <row r="49">
          <cell r="AC49">
            <v>0</v>
          </cell>
        </row>
      </sheetData>
      <sheetData sheetId="7">
        <row r="49">
          <cell r="Q49">
            <v>0</v>
          </cell>
          <cell r="S49">
            <v>0</v>
          </cell>
        </row>
        <row r="53">
          <cell r="Q53">
            <v>0</v>
          </cell>
          <cell r="S53">
            <v>0</v>
          </cell>
        </row>
        <row r="58">
          <cell r="Q58">
            <v>0</v>
          </cell>
          <cell r="S58">
            <v>0</v>
          </cell>
        </row>
        <row r="62">
          <cell r="Q62">
            <v>0</v>
          </cell>
          <cell r="S62">
            <v>0</v>
          </cell>
        </row>
        <row r="63">
          <cell r="Q63">
            <v>0</v>
          </cell>
          <cell r="S63">
            <v>0</v>
          </cell>
        </row>
      </sheetData>
      <sheetData sheetId="8">
        <row r="49">
          <cell r="AC49">
            <v>0</v>
          </cell>
        </row>
        <row r="53">
          <cell r="AC53">
            <v>0</v>
          </cell>
        </row>
        <row r="58">
          <cell r="AC58">
            <v>0</v>
          </cell>
        </row>
        <row r="62">
          <cell r="AC62">
            <v>0</v>
          </cell>
        </row>
        <row r="63">
          <cell r="AC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5"/>
  <sheetViews>
    <sheetView zoomScale="130" zoomScaleNormal="13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1" sqref="C11"/>
    </sheetView>
  </sheetViews>
  <sheetFormatPr defaultColWidth="9.140625" defaultRowHeight="12.75"/>
  <cols>
    <col min="1" max="1" width="15.7109375" style="93" customWidth="1"/>
    <col min="2" max="2" width="1.7109375" style="93" customWidth="1"/>
    <col min="3" max="3" width="11.7109375" style="127" customWidth="1"/>
    <col min="4" max="4" width="1.7109375" style="95" customWidth="1"/>
    <col min="5" max="5" width="11.7109375" style="95" customWidth="1"/>
    <col min="6" max="6" width="1.7109375" style="95" customWidth="1"/>
    <col min="7" max="7" width="11.7109375" style="95" customWidth="1"/>
    <col min="8" max="8" width="1.7109375" style="95" customWidth="1"/>
    <col min="9" max="9" width="11.7109375" style="95" customWidth="1"/>
    <col min="10" max="10" width="1.8515625" style="95" customWidth="1"/>
    <col min="11" max="11" width="11.7109375" style="24" customWidth="1"/>
    <col min="12" max="12" width="1.7109375" style="24" customWidth="1"/>
    <col min="13" max="13" width="11.7109375" style="24" customWidth="1"/>
    <col min="14" max="14" width="1.7109375" style="24" customWidth="1"/>
    <col min="15" max="15" width="11.7109375" style="24" customWidth="1"/>
    <col min="16" max="16" width="1.7109375" style="24" customWidth="1"/>
    <col min="17" max="17" width="11.7109375" style="24" customWidth="1"/>
    <col min="18" max="18" width="1.7109375" style="24" customWidth="1"/>
    <col min="19" max="19" width="11.7109375" style="24" customWidth="1"/>
    <col min="20" max="20" width="1.7109375" style="24" customWidth="1"/>
    <col min="21" max="21" width="11.7109375" style="24" customWidth="1"/>
    <col min="22" max="22" width="1.7109375" style="24" customWidth="1"/>
    <col min="23" max="23" width="12.7109375" style="24" customWidth="1"/>
    <col min="24" max="24" width="2.7109375" style="127" customWidth="1"/>
    <col min="25" max="25" width="15.7109375" style="93" customWidth="1"/>
    <col min="26" max="16384" width="9.140625" style="92" customWidth="1"/>
  </cols>
  <sheetData>
    <row r="1" spans="1:25" ht="12.75" customHeight="1">
      <c r="A1" s="49" t="s">
        <v>137</v>
      </c>
      <c r="B1" s="33"/>
      <c r="C1" s="24"/>
      <c r="D1" s="5"/>
      <c r="E1" s="5"/>
      <c r="F1" s="5"/>
      <c r="G1" s="5"/>
      <c r="H1" s="5"/>
      <c r="I1" s="5"/>
      <c r="J1" s="5"/>
      <c r="X1" s="24"/>
      <c r="Y1" s="33"/>
    </row>
    <row r="2" spans="1:25" ht="12.75" customHeight="1">
      <c r="A2" s="49" t="s">
        <v>254</v>
      </c>
      <c r="B2" s="33"/>
      <c r="C2" s="24"/>
      <c r="D2" s="5"/>
      <c r="E2" s="5"/>
      <c r="F2" s="5"/>
      <c r="G2" s="5"/>
      <c r="H2" s="5"/>
      <c r="I2" s="5"/>
      <c r="J2" s="5"/>
      <c r="X2" s="24"/>
      <c r="Y2" s="33"/>
    </row>
    <row r="3" spans="1:25" ht="12.75" customHeight="1">
      <c r="A3" s="49" t="s">
        <v>249</v>
      </c>
      <c r="B3" s="33"/>
      <c r="C3" s="24"/>
      <c r="D3" s="5"/>
      <c r="E3" s="5"/>
      <c r="F3" s="5"/>
      <c r="G3" s="5"/>
      <c r="H3" s="5"/>
      <c r="I3" s="5"/>
      <c r="J3" s="5"/>
      <c r="X3" s="24"/>
      <c r="Y3" s="33"/>
    </row>
    <row r="4" spans="1:25" ht="12.75" customHeight="1">
      <c r="A4" s="49" t="s">
        <v>184</v>
      </c>
      <c r="B4" s="33"/>
      <c r="C4" s="24"/>
      <c r="D4" s="5"/>
      <c r="E4" s="5"/>
      <c r="F4" s="5"/>
      <c r="G4" s="5"/>
      <c r="H4" s="5"/>
      <c r="I4" s="5"/>
      <c r="J4" s="5"/>
      <c r="X4" s="24"/>
      <c r="Y4" s="33"/>
    </row>
    <row r="5" spans="1:25" ht="12.75" customHeight="1">
      <c r="A5" s="33"/>
      <c r="B5" s="33"/>
      <c r="C5" s="24"/>
      <c r="D5" s="5"/>
      <c r="E5" s="5"/>
      <c r="F5" s="5"/>
      <c r="G5" s="5"/>
      <c r="H5" s="5"/>
      <c r="I5" s="5"/>
      <c r="J5" s="5"/>
      <c r="X5" s="24"/>
      <c r="Y5" s="33"/>
    </row>
    <row r="6" spans="2:25" ht="12.75" customHeight="1">
      <c r="B6" s="33"/>
      <c r="C6" s="50" t="s">
        <v>116</v>
      </c>
      <c r="D6" s="10"/>
      <c r="E6" s="10"/>
      <c r="F6" s="10"/>
      <c r="G6" s="10"/>
      <c r="H6" s="10"/>
      <c r="I6" s="10"/>
      <c r="J6" s="5"/>
      <c r="K6" s="50" t="s">
        <v>122</v>
      </c>
      <c r="L6" s="50"/>
      <c r="M6" s="50"/>
      <c r="N6" s="50"/>
      <c r="O6" s="50"/>
      <c r="Q6" s="50" t="s">
        <v>138</v>
      </c>
      <c r="R6" s="50"/>
      <c r="S6" s="50"/>
      <c r="T6" s="50"/>
      <c r="U6" s="50"/>
      <c r="V6" s="50"/>
      <c r="W6" s="50"/>
      <c r="X6" s="24"/>
      <c r="Y6" s="33"/>
    </row>
    <row r="7" spans="1:25" ht="12.75" customHeight="1">
      <c r="A7" s="19"/>
      <c r="B7" s="19"/>
      <c r="C7" s="52" t="s">
        <v>135</v>
      </c>
      <c r="D7" s="12"/>
      <c r="E7" s="12" t="s">
        <v>87</v>
      </c>
      <c r="F7" s="12"/>
      <c r="G7" s="12" t="s">
        <v>119</v>
      </c>
      <c r="H7" s="12"/>
      <c r="I7" s="12" t="s">
        <v>4</v>
      </c>
      <c r="J7" s="5"/>
      <c r="K7" s="52" t="s">
        <v>135</v>
      </c>
      <c r="L7" s="52"/>
      <c r="M7" s="52" t="s">
        <v>204</v>
      </c>
      <c r="N7" s="52"/>
      <c r="O7" s="52" t="s">
        <v>4</v>
      </c>
      <c r="Q7" s="21" t="s">
        <v>139</v>
      </c>
      <c r="R7" s="21"/>
      <c r="S7" s="21"/>
      <c r="T7" s="21"/>
      <c r="U7" s="21"/>
      <c r="V7" s="21"/>
      <c r="W7" s="52" t="s">
        <v>4</v>
      </c>
      <c r="X7" s="24"/>
      <c r="Y7" s="33"/>
    </row>
    <row r="8" spans="1:25" ht="12.75" customHeight="1">
      <c r="A8" s="22" t="s">
        <v>5</v>
      </c>
      <c r="B8" s="19"/>
      <c r="C8" s="20" t="s">
        <v>116</v>
      </c>
      <c r="D8" s="13"/>
      <c r="E8" s="15" t="s">
        <v>116</v>
      </c>
      <c r="F8" s="13"/>
      <c r="G8" s="15" t="s">
        <v>140</v>
      </c>
      <c r="H8" s="13"/>
      <c r="I8" s="15" t="s">
        <v>116</v>
      </c>
      <c r="J8" s="11"/>
      <c r="K8" s="20" t="s">
        <v>122</v>
      </c>
      <c r="L8" s="21"/>
      <c r="M8" s="20" t="s">
        <v>205</v>
      </c>
      <c r="N8" s="21"/>
      <c r="O8" s="20" t="s">
        <v>122</v>
      </c>
      <c r="P8" s="17"/>
      <c r="Q8" s="20" t="s">
        <v>141</v>
      </c>
      <c r="R8" s="21"/>
      <c r="S8" s="20" t="s">
        <v>142</v>
      </c>
      <c r="T8" s="21"/>
      <c r="U8" s="20" t="s">
        <v>143</v>
      </c>
      <c r="V8" s="21"/>
      <c r="W8" s="20" t="s">
        <v>138</v>
      </c>
      <c r="X8" s="24"/>
      <c r="Y8" s="33" t="s">
        <v>206</v>
      </c>
    </row>
    <row r="9" spans="1:25" ht="12.75" customHeight="1">
      <c r="A9" s="19"/>
      <c r="B9" s="19"/>
      <c r="C9" s="21"/>
      <c r="D9" s="13"/>
      <c r="E9" s="13"/>
      <c r="F9" s="13"/>
      <c r="G9" s="13"/>
      <c r="H9" s="13"/>
      <c r="I9" s="13"/>
      <c r="J9" s="5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4"/>
      <c r="Y9" s="33"/>
    </row>
    <row r="10" spans="1:25" ht="12.75" customHeight="1" hidden="1">
      <c r="A10" s="23" t="s">
        <v>237</v>
      </c>
      <c r="B10" s="19"/>
      <c r="C10" s="44">
        <f>+I10-E10-G10</f>
        <v>10385313</v>
      </c>
      <c r="D10" s="44"/>
      <c r="E10" s="44">
        <v>0</v>
      </c>
      <c r="F10" s="44"/>
      <c r="G10" s="44">
        <v>0</v>
      </c>
      <c r="H10" s="44"/>
      <c r="I10" s="44">
        <v>10385313</v>
      </c>
      <c r="J10" s="44"/>
      <c r="K10" s="44">
        <f>+O10-M10</f>
        <v>0</v>
      </c>
      <c r="L10" s="44"/>
      <c r="M10" s="44">
        <v>0</v>
      </c>
      <c r="N10" s="44"/>
      <c r="O10" s="44">
        <v>0</v>
      </c>
      <c r="P10" s="44"/>
      <c r="Q10" s="44">
        <v>0</v>
      </c>
      <c r="R10" s="44"/>
      <c r="S10" s="44">
        <f>W10-U10-Q10</f>
        <v>9416802</v>
      </c>
      <c r="T10" s="44"/>
      <c r="U10" s="44">
        <v>968511</v>
      </c>
      <c r="V10" s="44"/>
      <c r="W10" s="44">
        <v>10385313</v>
      </c>
      <c r="X10" s="24"/>
      <c r="Y10" s="44">
        <f>I10-O10-W10</f>
        <v>0</v>
      </c>
    </row>
    <row r="11" spans="1:25" s="93" customFormat="1" ht="12.75" customHeight="1">
      <c r="A11" s="133" t="s">
        <v>13</v>
      </c>
      <c r="B11" s="23"/>
      <c r="C11" s="44">
        <f>+I11-E11-G11</f>
        <v>67936639</v>
      </c>
      <c r="D11" s="44"/>
      <c r="E11" s="44">
        <f>5631494+55341729</f>
        <v>60973223</v>
      </c>
      <c r="F11" s="44"/>
      <c r="G11" s="44">
        <v>0</v>
      </c>
      <c r="H11" s="44"/>
      <c r="I11" s="44">
        <v>128909862</v>
      </c>
      <c r="J11" s="44"/>
      <c r="K11" s="44">
        <f>+O11-M11</f>
        <v>26213567</v>
      </c>
      <c r="L11" s="44"/>
      <c r="M11" s="44">
        <v>18963329</v>
      </c>
      <c r="N11" s="44"/>
      <c r="O11" s="44">
        <v>45176896</v>
      </c>
      <c r="P11" s="44"/>
      <c r="Q11" s="44">
        <v>39262226</v>
      </c>
      <c r="R11" s="44"/>
      <c r="S11" s="44">
        <f>W11-U11-Q11</f>
        <v>31132350</v>
      </c>
      <c r="T11" s="44"/>
      <c r="U11" s="44">
        <v>13338390</v>
      </c>
      <c r="V11" s="44"/>
      <c r="W11" s="44">
        <v>83732966</v>
      </c>
      <c r="X11" s="24"/>
      <c r="Y11" s="44">
        <f>I11-O11-W11</f>
        <v>0</v>
      </c>
    </row>
    <row r="12" spans="1:25" s="93" customFormat="1" ht="12.75" customHeight="1">
      <c r="A12" s="23" t="s">
        <v>14</v>
      </c>
      <c r="B12" s="23"/>
      <c r="C12" s="24">
        <f>+I12-E12-G12</f>
        <v>30183359</v>
      </c>
      <c r="D12" s="24"/>
      <c r="E12" s="24">
        <f>900918+41623080</f>
        <v>42523998</v>
      </c>
      <c r="F12" s="24"/>
      <c r="G12" s="24">
        <v>0</v>
      </c>
      <c r="H12" s="24"/>
      <c r="I12" s="24">
        <v>72707357</v>
      </c>
      <c r="J12" s="24"/>
      <c r="K12" s="24">
        <f>+O12-M12</f>
        <v>9275849</v>
      </c>
      <c r="L12" s="24"/>
      <c r="M12" s="24">
        <v>3025444</v>
      </c>
      <c r="N12" s="24"/>
      <c r="O12" s="24">
        <v>12301293</v>
      </c>
      <c r="P12" s="24"/>
      <c r="Q12" s="24">
        <v>39785581</v>
      </c>
      <c r="R12" s="24"/>
      <c r="S12" s="24">
        <f>W12-U12-Q12</f>
        <v>17368016</v>
      </c>
      <c r="T12" s="24"/>
      <c r="U12" s="24">
        <v>3252467</v>
      </c>
      <c r="V12" s="24"/>
      <c r="W12" s="24">
        <v>60406064</v>
      </c>
      <c r="X12" s="24"/>
      <c r="Y12" s="24">
        <f aca="true" t="shared" si="0" ref="Y12:Y27">I12-O12-W12</f>
        <v>0</v>
      </c>
    </row>
    <row r="13" spans="1:25" s="93" customFormat="1" ht="12.75" customHeight="1">
      <c r="A13" s="23" t="s">
        <v>15</v>
      </c>
      <c r="B13" s="23"/>
      <c r="C13" s="24">
        <f aca="true" t="shared" si="1" ref="C13:C76">+I13-E13-G13</f>
        <v>67116191</v>
      </c>
      <c r="D13" s="24"/>
      <c r="E13" s="24">
        <f>111077149+30194658</f>
        <v>141271807</v>
      </c>
      <c r="F13" s="24"/>
      <c r="G13" s="24">
        <v>0</v>
      </c>
      <c r="H13" s="24"/>
      <c r="I13" s="24">
        <v>208387998</v>
      </c>
      <c r="J13" s="24"/>
      <c r="K13" s="24">
        <f aca="true" t="shared" si="2" ref="K13:K76">+O13-M13</f>
        <v>23148809</v>
      </c>
      <c r="L13" s="24"/>
      <c r="M13" s="24">
        <f>8647226</f>
        <v>8647226</v>
      </c>
      <c r="N13" s="24"/>
      <c r="O13" s="24">
        <v>31796035</v>
      </c>
      <c r="P13" s="24"/>
      <c r="Q13" s="24">
        <v>134109127</v>
      </c>
      <c r="R13" s="24"/>
      <c r="S13" s="24">
        <f aca="true" t="shared" si="3" ref="S13:S76">W13-U13-Q13</f>
        <v>36482221</v>
      </c>
      <c r="T13" s="24"/>
      <c r="U13" s="24">
        <v>6000615</v>
      </c>
      <c r="V13" s="24"/>
      <c r="W13" s="24">
        <v>176591963</v>
      </c>
      <c r="X13" s="24"/>
      <c r="Y13" s="24">
        <f t="shared" si="0"/>
        <v>0</v>
      </c>
    </row>
    <row r="14" spans="1:25" s="93" customFormat="1" ht="12.75" customHeight="1">
      <c r="A14" s="23" t="s">
        <v>16</v>
      </c>
      <c r="B14" s="23"/>
      <c r="C14" s="24">
        <f t="shared" si="1"/>
        <v>38138124</v>
      </c>
      <c r="D14" s="24"/>
      <c r="E14" s="24">
        <f>1389139+59684073</f>
        <v>61073212</v>
      </c>
      <c r="F14" s="24"/>
      <c r="G14" s="24">
        <v>0</v>
      </c>
      <c r="H14" s="24"/>
      <c r="I14" s="24">
        <v>99211336</v>
      </c>
      <c r="J14" s="24"/>
      <c r="K14" s="24">
        <f t="shared" si="2"/>
        <v>14800272</v>
      </c>
      <c r="L14" s="24"/>
      <c r="M14" s="24">
        <v>4487075</v>
      </c>
      <c r="N14" s="24"/>
      <c r="O14" s="24">
        <v>19287347</v>
      </c>
      <c r="P14" s="24"/>
      <c r="Q14" s="24">
        <v>59527226</v>
      </c>
      <c r="R14" s="24"/>
      <c r="S14" s="24">
        <f>W14-U14-Q14</f>
        <v>20441239</v>
      </c>
      <c r="T14" s="24"/>
      <c r="U14" s="24">
        <v>-44476</v>
      </c>
      <c r="V14" s="24"/>
      <c r="W14" s="24">
        <v>79923989</v>
      </c>
      <c r="X14" s="24"/>
      <c r="Y14" s="24">
        <f>I14-O14-W14</f>
        <v>0</v>
      </c>
    </row>
    <row r="15" spans="1:25" s="93" customFormat="1" ht="12.75" customHeight="1">
      <c r="A15" s="23" t="s">
        <v>17</v>
      </c>
      <c r="B15" s="23"/>
      <c r="C15" s="24">
        <f t="shared" si="1"/>
        <v>39248630</v>
      </c>
      <c r="D15" s="24"/>
      <c r="E15" s="24">
        <f>3108247+36853714</f>
        <v>39961961</v>
      </c>
      <c r="F15" s="24"/>
      <c r="G15" s="24">
        <v>0</v>
      </c>
      <c r="H15" s="24"/>
      <c r="I15" s="24">
        <v>79210591</v>
      </c>
      <c r="J15" s="24"/>
      <c r="K15" s="24">
        <f t="shared" si="2"/>
        <v>8666139</v>
      </c>
      <c r="L15" s="24"/>
      <c r="M15" s="24">
        <v>2152998</v>
      </c>
      <c r="N15" s="24"/>
      <c r="O15" s="24">
        <v>10819137</v>
      </c>
      <c r="P15" s="24"/>
      <c r="Q15" s="24">
        <v>39681959</v>
      </c>
      <c r="R15" s="24"/>
      <c r="S15" s="24">
        <f t="shared" si="3"/>
        <v>21846930</v>
      </c>
      <c r="T15" s="24"/>
      <c r="U15" s="24">
        <v>6862565</v>
      </c>
      <c r="V15" s="24"/>
      <c r="W15" s="24">
        <v>68391454</v>
      </c>
      <c r="X15" s="24"/>
      <c r="Y15" s="24">
        <f t="shared" si="0"/>
        <v>0</v>
      </c>
    </row>
    <row r="16" spans="1:25" s="93" customFormat="1" ht="12.75" customHeight="1">
      <c r="A16" s="23" t="s">
        <v>18</v>
      </c>
      <c r="B16" s="23"/>
      <c r="C16" s="24">
        <f t="shared" si="1"/>
        <v>51179529</v>
      </c>
      <c r="D16" s="24"/>
      <c r="E16" s="24">
        <f>14847228+59085587</f>
        <v>73932815</v>
      </c>
      <c r="F16" s="24"/>
      <c r="G16" s="24">
        <v>182041</v>
      </c>
      <c r="H16" s="24"/>
      <c r="I16" s="24">
        <v>125294385</v>
      </c>
      <c r="J16" s="24"/>
      <c r="K16" s="24">
        <f>+O16-M16</f>
        <v>14417180</v>
      </c>
      <c r="L16" s="24"/>
      <c r="M16" s="24">
        <v>9369593</v>
      </c>
      <c r="N16" s="24"/>
      <c r="O16" s="24">
        <v>23786773</v>
      </c>
      <c r="P16" s="24"/>
      <c r="Q16" s="24">
        <v>66035171</v>
      </c>
      <c r="R16" s="24"/>
      <c r="S16" s="24">
        <f t="shared" si="3"/>
        <v>28788096</v>
      </c>
      <c r="T16" s="24"/>
      <c r="U16" s="24">
        <v>6684345</v>
      </c>
      <c r="V16" s="24"/>
      <c r="W16" s="24">
        <v>101507612</v>
      </c>
      <c r="X16" s="24"/>
      <c r="Y16" s="24">
        <f t="shared" si="0"/>
        <v>0</v>
      </c>
    </row>
    <row r="17" spans="1:25" s="93" customFormat="1" ht="12.75" customHeight="1" hidden="1">
      <c r="A17" s="23" t="s">
        <v>240</v>
      </c>
      <c r="B17" s="23"/>
      <c r="C17" s="24">
        <f t="shared" si="1"/>
        <v>0</v>
      </c>
      <c r="D17" s="24"/>
      <c r="E17" s="24">
        <v>0</v>
      </c>
      <c r="F17" s="24"/>
      <c r="G17" s="24">
        <v>0</v>
      </c>
      <c r="H17" s="24"/>
      <c r="I17" s="24">
        <v>0</v>
      </c>
      <c r="J17" s="24"/>
      <c r="K17" s="24">
        <f t="shared" si="2"/>
        <v>0</v>
      </c>
      <c r="L17" s="24"/>
      <c r="M17" s="24">
        <v>0</v>
      </c>
      <c r="N17" s="24"/>
      <c r="O17" s="24">
        <v>0</v>
      </c>
      <c r="P17" s="24"/>
      <c r="Q17" s="24">
        <v>0</v>
      </c>
      <c r="R17" s="24"/>
      <c r="S17" s="24">
        <f t="shared" si="3"/>
        <v>0</v>
      </c>
      <c r="T17" s="24"/>
      <c r="U17" s="24">
        <v>0</v>
      </c>
      <c r="V17" s="24"/>
      <c r="W17" s="24">
        <v>0</v>
      </c>
      <c r="X17" s="24"/>
      <c r="Y17" s="24">
        <f t="shared" si="0"/>
        <v>0</v>
      </c>
    </row>
    <row r="18" spans="1:25" s="93" customFormat="1" ht="12.75" customHeight="1">
      <c r="A18" s="23" t="s">
        <v>238</v>
      </c>
      <c r="B18" s="23"/>
      <c r="C18" s="24">
        <f t="shared" si="1"/>
        <v>267631695</v>
      </c>
      <c r="D18" s="24"/>
      <c r="E18" s="24">
        <v>392759611</v>
      </c>
      <c r="F18" s="24"/>
      <c r="G18" s="24">
        <v>1278091</v>
      </c>
      <c r="H18" s="24"/>
      <c r="I18" s="24">
        <v>661669397</v>
      </c>
      <c r="J18" s="24"/>
      <c r="K18" s="24">
        <f t="shared" si="2"/>
        <v>119811698</v>
      </c>
      <c r="L18" s="24"/>
      <c r="M18" s="24">
        <v>100389083</v>
      </c>
      <c r="N18" s="24"/>
      <c r="O18" s="24">
        <v>220200781</v>
      </c>
      <c r="P18" s="24"/>
      <c r="Q18" s="24">
        <v>331658664</v>
      </c>
      <c r="R18" s="24"/>
      <c r="S18" s="24">
        <f t="shared" si="3"/>
        <v>126058432</v>
      </c>
      <c r="T18" s="24"/>
      <c r="U18" s="24">
        <v>-16248480</v>
      </c>
      <c r="V18" s="24"/>
      <c r="W18" s="24">
        <v>441468616</v>
      </c>
      <c r="X18" s="24"/>
      <c r="Y18" s="24">
        <f t="shared" si="0"/>
        <v>0</v>
      </c>
    </row>
    <row r="19" spans="1:25" s="93" customFormat="1" ht="12.75" customHeight="1">
      <c r="A19" s="23" t="s">
        <v>20</v>
      </c>
      <c r="B19" s="23"/>
      <c r="C19" s="24">
        <f t="shared" si="1"/>
        <v>16796142</v>
      </c>
      <c r="D19" s="24"/>
      <c r="E19" s="24">
        <f>2330271+8631657</f>
        <v>10961928</v>
      </c>
      <c r="F19" s="24"/>
      <c r="G19" s="24">
        <v>0</v>
      </c>
      <c r="H19" s="24"/>
      <c r="I19" s="24">
        <v>27758070</v>
      </c>
      <c r="J19" s="24"/>
      <c r="K19" s="24">
        <f t="shared" si="2"/>
        <v>5285547</v>
      </c>
      <c r="L19" s="24"/>
      <c r="M19" s="24">
        <v>1486783</v>
      </c>
      <c r="N19" s="24"/>
      <c r="O19" s="24">
        <v>6772330</v>
      </c>
      <c r="P19" s="24"/>
      <c r="Q19" s="24">
        <v>10478475</v>
      </c>
      <c r="R19" s="24"/>
      <c r="S19" s="24">
        <f t="shared" si="3"/>
        <v>9944593</v>
      </c>
      <c r="T19" s="24"/>
      <c r="U19" s="24">
        <v>562672</v>
      </c>
      <c r="V19" s="24"/>
      <c r="W19" s="24">
        <v>20985740</v>
      </c>
      <c r="X19" s="24"/>
      <c r="Y19" s="24">
        <f t="shared" si="0"/>
        <v>0</v>
      </c>
    </row>
    <row r="20" spans="1:25" s="93" customFormat="1" ht="12.75" customHeight="1" hidden="1">
      <c r="A20" s="23" t="s">
        <v>172</v>
      </c>
      <c r="B20" s="23"/>
      <c r="C20" s="24">
        <f t="shared" si="1"/>
        <v>0</v>
      </c>
      <c r="D20" s="24"/>
      <c r="E20" s="24">
        <v>0</v>
      </c>
      <c r="F20" s="24"/>
      <c r="G20" s="24">
        <v>0</v>
      </c>
      <c r="H20" s="24"/>
      <c r="I20" s="24">
        <v>0</v>
      </c>
      <c r="J20" s="24"/>
      <c r="K20" s="24">
        <f t="shared" si="2"/>
        <v>0</v>
      </c>
      <c r="L20" s="24"/>
      <c r="M20" s="24">
        <v>0</v>
      </c>
      <c r="N20" s="24"/>
      <c r="O20" s="24">
        <v>0</v>
      </c>
      <c r="P20" s="24"/>
      <c r="Q20" s="24">
        <v>0</v>
      </c>
      <c r="R20" s="24"/>
      <c r="S20" s="24">
        <f t="shared" si="3"/>
        <v>0</v>
      </c>
      <c r="T20" s="24"/>
      <c r="U20" s="24">
        <v>0</v>
      </c>
      <c r="V20" s="24"/>
      <c r="W20" s="24">
        <v>0</v>
      </c>
      <c r="X20" s="24"/>
      <c r="Y20" s="24">
        <f t="shared" si="0"/>
        <v>0</v>
      </c>
    </row>
    <row r="21" spans="1:25" s="93" customFormat="1" ht="12.75" customHeight="1">
      <c r="A21" s="23" t="s">
        <v>21</v>
      </c>
      <c r="B21" s="23"/>
      <c r="C21" s="24">
        <f t="shared" si="1"/>
        <v>94570996</v>
      </c>
      <c r="D21" s="24"/>
      <c r="E21" s="24">
        <f>7204888+2737873+78022564</f>
        <v>87965325</v>
      </c>
      <c r="F21" s="24"/>
      <c r="G21" s="24">
        <v>0</v>
      </c>
      <c r="H21" s="24"/>
      <c r="I21" s="24">
        <v>182536321</v>
      </c>
      <c r="J21" s="24"/>
      <c r="K21" s="24">
        <f t="shared" si="2"/>
        <v>31093140</v>
      </c>
      <c r="L21" s="24"/>
      <c r="M21" s="24">
        <v>18695161</v>
      </c>
      <c r="N21" s="24"/>
      <c r="O21" s="24">
        <v>49788301</v>
      </c>
      <c r="P21" s="24"/>
      <c r="Q21" s="24">
        <v>71478924</v>
      </c>
      <c r="R21" s="24"/>
      <c r="S21" s="24">
        <f t="shared" si="3"/>
        <v>51886419</v>
      </c>
      <c r="T21" s="24"/>
      <c r="U21" s="24">
        <v>9382677</v>
      </c>
      <c r="V21" s="24"/>
      <c r="W21" s="24">
        <v>132748020</v>
      </c>
      <c r="X21" s="24"/>
      <c r="Y21" s="24">
        <f t="shared" si="0"/>
        <v>0</v>
      </c>
    </row>
    <row r="22" spans="1:25" s="93" customFormat="1" ht="12.75" customHeight="1">
      <c r="A22" s="23" t="s">
        <v>181</v>
      </c>
      <c r="B22" s="23"/>
      <c r="C22" s="24">
        <f t="shared" si="1"/>
        <v>112862140</v>
      </c>
      <c r="D22" s="24"/>
      <c r="E22" s="24">
        <f>13603087+139749510</f>
        <v>153352597</v>
      </c>
      <c r="F22" s="24"/>
      <c r="G22" s="24">
        <v>0</v>
      </c>
      <c r="H22" s="24"/>
      <c r="I22" s="24">
        <v>266214737</v>
      </c>
      <c r="J22" s="24"/>
      <c r="K22" s="24">
        <f t="shared" si="2"/>
        <v>39442924</v>
      </c>
      <c r="L22" s="24"/>
      <c r="M22" s="24">
        <v>9781801</v>
      </c>
      <c r="N22" s="24"/>
      <c r="O22" s="24">
        <v>49224725</v>
      </c>
      <c r="P22" s="24"/>
      <c r="Q22" s="24">
        <v>141210092</v>
      </c>
      <c r="R22" s="24"/>
      <c r="S22" s="24">
        <f t="shared" si="3"/>
        <v>50539990</v>
      </c>
      <c r="T22" s="24"/>
      <c r="U22" s="24">
        <v>25239930</v>
      </c>
      <c r="V22" s="24"/>
      <c r="W22" s="24">
        <v>216990012</v>
      </c>
      <c r="X22" s="24"/>
      <c r="Y22" s="24">
        <f t="shared" si="0"/>
        <v>0</v>
      </c>
    </row>
    <row r="23" spans="1:25" s="93" customFormat="1" ht="12.75" customHeight="1">
      <c r="A23" s="23" t="s">
        <v>22</v>
      </c>
      <c r="B23" s="23"/>
      <c r="C23" s="24">
        <f t="shared" si="1"/>
        <v>73656315</v>
      </c>
      <c r="D23" s="24"/>
      <c r="E23" s="24">
        <f>1003130+49432435</f>
        <v>50435565</v>
      </c>
      <c r="F23" s="24"/>
      <c r="G23" s="24">
        <v>0</v>
      </c>
      <c r="H23" s="24"/>
      <c r="I23" s="24">
        <v>124091880</v>
      </c>
      <c r="J23" s="24"/>
      <c r="K23" s="24">
        <f t="shared" si="2"/>
        <v>8820597</v>
      </c>
      <c r="L23" s="24"/>
      <c r="M23" s="24">
        <v>11234578</v>
      </c>
      <c r="N23" s="24"/>
      <c r="O23" s="24">
        <v>20055175</v>
      </c>
      <c r="P23" s="24"/>
      <c r="Q23" s="24">
        <v>39232128</v>
      </c>
      <c r="R23" s="24"/>
      <c r="S23" s="24">
        <f t="shared" si="3"/>
        <v>30480069</v>
      </c>
      <c r="T23" s="24"/>
      <c r="U23" s="24">
        <v>34324508</v>
      </c>
      <c r="V23" s="24"/>
      <c r="W23" s="24">
        <v>104036705</v>
      </c>
      <c r="X23" s="24"/>
      <c r="Y23" s="24">
        <f t="shared" si="0"/>
        <v>0</v>
      </c>
    </row>
    <row r="24" spans="1:25" s="93" customFormat="1" ht="12.75" customHeight="1" hidden="1">
      <c r="A24" s="23" t="s">
        <v>23</v>
      </c>
      <c r="B24" s="23"/>
      <c r="C24" s="24">
        <f t="shared" si="1"/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f t="shared" si="2"/>
        <v>0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f t="shared" si="3"/>
        <v>0</v>
      </c>
      <c r="T24" s="24"/>
      <c r="U24" s="24">
        <v>0</v>
      </c>
      <c r="V24" s="24"/>
      <c r="W24" s="24">
        <v>0</v>
      </c>
      <c r="X24" s="24"/>
      <c r="Y24" s="24">
        <f t="shared" si="0"/>
        <v>0</v>
      </c>
    </row>
    <row r="25" spans="1:25" s="93" customFormat="1" ht="12.75" customHeight="1">
      <c r="A25" s="23" t="s">
        <v>24</v>
      </c>
      <c r="B25" s="23"/>
      <c r="C25" s="24">
        <f t="shared" si="1"/>
        <v>24944209</v>
      </c>
      <c r="D25" s="24"/>
      <c r="E25" s="24">
        <f>3007348+25974735</f>
        <v>28982083</v>
      </c>
      <c r="F25" s="24"/>
      <c r="G25" s="24">
        <v>0</v>
      </c>
      <c r="H25" s="24"/>
      <c r="I25" s="24">
        <v>53926292</v>
      </c>
      <c r="J25" s="24"/>
      <c r="K25" s="24">
        <f t="shared" si="2"/>
        <v>8983622</v>
      </c>
      <c r="L25" s="24"/>
      <c r="M25" s="24">
        <v>4487226</v>
      </c>
      <c r="N25" s="24"/>
      <c r="O25" s="24">
        <v>13470848</v>
      </c>
      <c r="P25" s="24"/>
      <c r="Q25" s="24">
        <v>24653822</v>
      </c>
      <c r="R25" s="24"/>
      <c r="S25" s="24">
        <f t="shared" si="3"/>
        <v>11268728</v>
      </c>
      <c r="T25" s="24"/>
      <c r="U25" s="24">
        <v>4532894</v>
      </c>
      <c r="V25" s="24"/>
      <c r="W25" s="24">
        <v>40455444</v>
      </c>
      <c r="X25" s="24"/>
      <c r="Y25" s="24">
        <f t="shared" si="0"/>
        <v>0</v>
      </c>
    </row>
    <row r="26" spans="1:25" s="93" customFormat="1" ht="12.75" customHeight="1">
      <c r="A26" s="23" t="s">
        <v>243</v>
      </c>
      <c r="B26" s="23"/>
      <c r="C26" s="24">
        <f t="shared" si="1"/>
        <v>33208290</v>
      </c>
      <c r="D26" s="24"/>
      <c r="E26" s="24">
        <f>11327111+42680348</f>
        <v>54007459</v>
      </c>
      <c r="F26" s="24"/>
      <c r="G26" s="24">
        <v>0</v>
      </c>
      <c r="H26" s="24"/>
      <c r="I26" s="24">
        <v>87215749</v>
      </c>
      <c r="J26" s="24"/>
      <c r="K26" s="24">
        <f t="shared" si="2"/>
        <v>10141242</v>
      </c>
      <c r="L26" s="24"/>
      <c r="M26" s="24">
        <v>13796067</v>
      </c>
      <c r="N26" s="24"/>
      <c r="O26" s="24">
        <v>23937309</v>
      </c>
      <c r="P26" s="24"/>
      <c r="Q26" s="24">
        <v>42293390</v>
      </c>
      <c r="R26" s="24"/>
      <c r="S26" s="24">
        <f t="shared" si="3"/>
        <v>19226347</v>
      </c>
      <c r="T26" s="24"/>
      <c r="U26" s="24">
        <v>1758703</v>
      </c>
      <c r="V26" s="24"/>
      <c r="W26" s="24">
        <v>63278440</v>
      </c>
      <c r="X26" s="24"/>
      <c r="Y26" s="24">
        <f t="shared" si="0"/>
        <v>0</v>
      </c>
    </row>
    <row r="27" spans="1:25" s="93" customFormat="1" ht="12.75" customHeight="1">
      <c r="A27" s="23" t="s">
        <v>25</v>
      </c>
      <c r="B27" s="23"/>
      <c r="C27" s="24">
        <f t="shared" si="1"/>
        <v>1176059000</v>
      </c>
      <c r="D27" s="24"/>
      <c r="E27" s="24">
        <f>632454*1000</f>
        <v>632454000</v>
      </c>
      <c r="F27" s="24"/>
      <c r="G27" s="24">
        <v>0</v>
      </c>
      <c r="H27" s="24"/>
      <c r="I27" s="24">
        <f>1808513*1000</f>
        <v>1808513000</v>
      </c>
      <c r="J27" s="24"/>
      <c r="K27" s="24">
        <f t="shared" si="2"/>
        <v>562347000</v>
      </c>
      <c r="L27" s="24"/>
      <c r="M27" s="24">
        <f>481577*1000</f>
        <v>481577000</v>
      </c>
      <c r="N27" s="24"/>
      <c r="O27" s="24">
        <f>1043924*1000</f>
        <v>1043924000</v>
      </c>
      <c r="P27" s="24"/>
      <c r="Q27" s="24">
        <f>290217*1000</f>
        <v>290217000</v>
      </c>
      <c r="R27" s="24"/>
      <c r="S27" s="24">
        <f>W27-U27-Q27</f>
        <v>65621000</v>
      </c>
      <c r="T27" s="24"/>
      <c r="U27" s="24">
        <f>408751*1000</f>
        <v>408751000</v>
      </c>
      <c r="V27" s="24"/>
      <c r="W27" s="24">
        <f>764589*1000</f>
        <v>764589000</v>
      </c>
      <c r="X27" s="24"/>
      <c r="Y27" s="24">
        <f t="shared" si="0"/>
        <v>0</v>
      </c>
    </row>
    <row r="28" spans="1:25" s="93" customFormat="1" ht="12.75" customHeight="1" hidden="1">
      <c r="A28" s="133" t="s">
        <v>252</v>
      </c>
      <c r="B28" s="23"/>
      <c r="C28" s="24">
        <f>+I28-E28-G28</f>
        <v>0</v>
      </c>
      <c r="D28" s="24"/>
      <c r="E28" s="24">
        <v>0</v>
      </c>
      <c r="F28" s="24"/>
      <c r="G28" s="24">
        <v>0</v>
      </c>
      <c r="H28" s="24"/>
      <c r="I28" s="24"/>
      <c r="J28" s="24"/>
      <c r="K28" s="24">
        <f>+O28-M28</f>
        <v>0</v>
      </c>
      <c r="L28" s="24"/>
      <c r="M28" s="24">
        <v>0</v>
      </c>
      <c r="N28" s="24"/>
      <c r="O28" s="24">
        <v>0</v>
      </c>
      <c r="P28" s="24"/>
      <c r="Q28" s="24">
        <v>0</v>
      </c>
      <c r="R28" s="24"/>
      <c r="S28" s="24">
        <f>W28-U28-Q28</f>
        <v>0</v>
      </c>
      <c r="T28" s="24"/>
      <c r="U28" s="24">
        <v>0</v>
      </c>
      <c r="V28" s="24"/>
      <c r="W28" s="24">
        <v>0</v>
      </c>
      <c r="X28" s="24"/>
      <c r="Y28" s="24">
        <f>I28-O28-W28</f>
        <v>0</v>
      </c>
    </row>
    <row r="29" spans="1:25" s="93" customFormat="1" ht="12.75" customHeight="1">
      <c r="A29" s="23" t="s">
        <v>27</v>
      </c>
      <c r="B29" s="23"/>
      <c r="C29" s="24">
        <f t="shared" si="1"/>
        <v>41015528</v>
      </c>
      <c r="D29" s="24"/>
      <c r="E29" s="24">
        <f>6497422+54119643</f>
        <v>60617065</v>
      </c>
      <c r="F29" s="24"/>
      <c r="G29" s="24">
        <v>0</v>
      </c>
      <c r="H29" s="24"/>
      <c r="I29" s="24">
        <f>101632593</f>
        <v>101632593</v>
      </c>
      <c r="J29" s="24"/>
      <c r="K29" s="24">
        <f t="shared" si="2"/>
        <v>8746031</v>
      </c>
      <c r="L29" s="24"/>
      <c r="M29" s="24">
        <f>8254957</f>
        <v>8254957</v>
      </c>
      <c r="N29" s="24"/>
      <c r="O29" s="24">
        <v>17000988</v>
      </c>
      <c r="P29" s="24"/>
      <c r="Q29" s="24">
        <v>56331968</v>
      </c>
      <c r="R29" s="24"/>
      <c r="S29" s="24">
        <f t="shared" si="3"/>
        <v>22880948</v>
      </c>
      <c r="T29" s="24"/>
      <c r="U29" s="24">
        <v>5418689</v>
      </c>
      <c r="V29" s="24"/>
      <c r="W29" s="24">
        <v>84631605</v>
      </c>
      <c r="X29" s="24"/>
      <c r="Y29" s="24">
        <f aca="true" t="shared" si="4" ref="Y29:Y93">I29-O29-W29</f>
        <v>0</v>
      </c>
    </row>
    <row r="30" spans="1:25" s="93" customFormat="1" ht="12.75" customHeight="1">
      <c r="A30" s="23" t="s">
        <v>28</v>
      </c>
      <c r="B30" s="23"/>
      <c r="C30" s="24">
        <f t="shared" si="1"/>
        <v>132145605</v>
      </c>
      <c r="D30" s="24"/>
      <c r="E30" s="24">
        <f>44399269+140716208</f>
        <v>185115477</v>
      </c>
      <c r="F30" s="24"/>
      <c r="G30" s="24">
        <v>0</v>
      </c>
      <c r="H30" s="24"/>
      <c r="I30" s="24">
        <f>317261082</f>
        <v>317261082</v>
      </c>
      <c r="J30" s="24"/>
      <c r="K30" s="24">
        <f t="shared" si="2"/>
        <v>34801596</v>
      </c>
      <c r="L30" s="24"/>
      <c r="M30" s="24">
        <v>42996887</v>
      </c>
      <c r="N30" s="24"/>
      <c r="O30" s="24">
        <v>77798483</v>
      </c>
      <c r="P30" s="24"/>
      <c r="Q30" s="24">
        <v>142801699</v>
      </c>
      <c r="R30" s="24"/>
      <c r="S30" s="24">
        <f t="shared" si="3"/>
        <v>69160527</v>
      </c>
      <c r="T30" s="24"/>
      <c r="U30" s="24">
        <v>27500373</v>
      </c>
      <c r="V30" s="24"/>
      <c r="W30" s="24">
        <v>239462599</v>
      </c>
      <c r="X30" s="24"/>
      <c r="Y30" s="24">
        <f t="shared" si="4"/>
        <v>0</v>
      </c>
    </row>
    <row r="31" spans="1:25" s="93" customFormat="1" ht="12.75" customHeight="1">
      <c r="A31" s="23" t="s">
        <v>29</v>
      </c>
      <c r="B31" s="23"/>
      <c r="C31" s="24">
        <f t="shared" si="1"/>
        <v>56865144</v>
      </c>
      <c r="D31" s="24"/>
      <c r="E31" s="24">
        <f>3057707+59577194</f>
        <v>62634901</v>
      </c>
      <c r="F31" s="24"/>
      <c r="G31" s="24">
        <v>0</v>
      </c>
      <c r="H31" s="24"/>
      <c r="I31" s="24">
        <v>119500045</v>
      </c>
      <c r="J31" s="24"/>
      <c r="K31" s="24">
        <f t="shared" si="2"/>
        <v>22455852</v>
      </c>
      <c r="L31" s="24"/>
      <c r="M31" s="24">
        <v>16293606</v>
      </c>
      <c r="N31" s="24"/>
      <c r="O31" s="24">
        <v>38749458</v>
      </c>
      <c r="P31" s="24"/>
      <c r="Q31" s="24">
        <v>43521250</v>
      </c>
      <c r="R31" s="24"/>
      <c r="S31" s="24">
        <f t="shared" si="3"/>
        <v>24886974</v>
      </c>
      <c r="T31" s="24"/>
      <c r="U31" s="24">
        <v>12342363</v>
      </c>
      <c r="V31" s="24"/>
      <c r="W31" s="24">
        <v>80750587</v>
      </c>
      <c r="X31" s="24"/>
      <c r="Y31" s="24">
        <f t="shared" si="4"/>
        <v>0</v>
      </c>
    </row>
    <row r="32" spans="1:25" s="93" customFormat="1" ht="12.75" customHeight="1">
      <c r="A32" s="23" t="s">
        <v>30</v>
      </c>
      <c r="B32" s="23"/>
      <c r="C32" s="24">
        <f t="shared" si="1"/>
        <v>98355533</v>
      </c>
      <c r="D32" s="24"/>
      <c r="E32" s="24">
        <f>6328414+172444130</f>
        <v>178772544</v>
      </c>
      <c r="F32" s="24"/>
      <c r="G32" s="24">
        <v>0</v>
      </c>
      <c r="H32" s="24"/>
      <c r="I32" s="24">
        <v>277128077</v>
      </c>
      <c r="J32" s="24"/>
      <c r="K32" s="24">
        <f t="shared" si="2"/>
        <v>33813870</v>
      </c>
      <c r="L32" s="24"/>
      <c r="M32" s="24">
        <v>18480665</v>
      </c>
      <c r="N32" s="24"/>
      <c r="O32" s="24">
        <v>52294535</v>
      </c>
      <c r="P32" s="24"/>
      <c r="Q32" s="24">
        <v>163190447</v>
      </c>
      <c r="R32" s="24"/>
      <c r="S32" s="24">
        <f t="shared" si="3"/>
        <v>46952236</v>
      </c>
      <c r="T32" s="24"/>
      <c r="U32" s="24">
        <v>14690859</v>
      </c>
      <c r="V32" s="24"/>
      <c r="W32" s="24">
        <v>224833542</v>
      </c>
      <c r="X32" s="24"/>
      <c r="Y32" s="24">
        <f t="shared" si="4"/>
        <v>0</v>
      </c>
    </row>
    <row r="33" spans="1:25" s="93" customFormat="1" ht="12.75" customHeight="1" hidden="1">
      <c r="A33" s="23" t="s">
        <v>239</v>
      </c>
      <c r="B33" s="23"/>
      <c r="C33" s="24">
        <f t="shared" si="1"/>
        <v>0</v>
      </c>
      <c r="D33" s="24"/>
      <c r="E33" s="24">
        <v>0</v>
      </c>
      <c r="F33" s="24"/>
      <c r="G33" s="24">
        <v>0</v>
      </c>
      <c r="H33" s="24"/>
      <c r="I33" s="24">
        <v>0</v>
      </c>
      <c r="J33" s="24"/>
      <c r="K33" s="24">
        <f t="shared" si="2"/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f t="shared" si="3"/>
        <v>0</v>
      </c>
      <c r="T33" s="24"/>
      <c r="U33" s="24">
        <v>0</v>
      </c>
      <c r="V33" s="24"/>
      <c r="W33" s="24">
        <v>0</v>
      </c>
      <c r="X33" s="24"/>
      <c r="Y33" s="24">
        <f t="shared" si="4"/>
        <v>0</v>
      </c>
    </row>
    <row r="34" spans="1:25" s="93" customFormat="1" ht="12.75" customHeight="1">
      <c r="A34" s="23" t="s">
        <v>32</v>
      </c>
      <c r="B34" s="23"/>
      <c r="C34" s="24">
        <f t="shared" si="1"/>
        <v>1447497000</v>
      </c>
      <c r="D34" s="24"/>
      <c r="E34" s="24">
        <f>(252114+399717)*1000</f>
        <v>651831000</v>
      </c>
      <c r="F34" s="24"/>
      <c r="G34" s="24">
        <v>0</v>
      </c>
      <c r="H34" s="24"/>
      <c r="I34" s="24">
        <f>2099328*1000</f>
        <v>2099328000</v>
      </c>
      <c r="J34" s="24"/>
      <c r="K34" s="24">
        <f t="shared" si="2"/>
        <v>555207000</v>
      </c>
      <c r="L34" s="24"/>
      <c r="M34" s="24">
        <f>351717*1000</f>
        <v>351717000</v>
      </c>
      <c r="N34" s="24"/>
      <c r="O34" s="24">
        <f>906924*1000</f>
        <v>906924000</v>
      </c>
      <c r="P34" s="24"/>
      <c r="Q34" s="24">
        <f>367933*1000</f>
        <v>367933000</v>
      </c>
      <c r="R34" s="24"/>
      <c r="S34" s="24">
        <f t="shared" si="3"/>
        <v>575694000</v>
      </c>
      <c r="T34" s="24"/>
      <c r="U34" s="24">
        <f>248777*1000</f>
        <v>248777000</v>
      </c>
      <c r="V34" s="24"/>
      <c r="W34" s="24">
        <f>1192404*1000</f>
        <v>1192404000</v>
      </c>
      <c r="X34" s="24"/>
      <c r="Y34" s="24">
        <f t="shared" si="4"/>
        <v>0</v>
      </c>
    </row>
    <row r="35" spans="1:25" s="93" customFormat="1" ht="12.75" customHeight="1">
      <c r="A35" s="23" t="s">
        <v>33</v>
      </c>
      <c r="B35" s="23"/>
      <c r="C35" s="24">
        <f t="shared" si="1"/>
        <v>40436749</v>
      </c>
      <c r="D35" s="24"/>
      <c r="E35" s="24">
        <f>1417255+41322418</f>
        <v>42739673</v>
      </c>
      <c r="F35" s="24"/>
      <c r="G35" s="24">
        <v>0</v>
      </c>
      <c r="H35" s="24"/>
      <c r="I35" s="24">
        <v>83176422</v>
      </c>
      <c r="J35" s="24"/>
      <c r="K35" s="24">
        <f t="shared" si="2"/>
        <v>8748721</v>
      </c>
      <c r="L35" s="24"/>
      <c r="M35" s="24">
        <v>2357656</v>
      </c>
      <c r="N35" s="24"/>
      <c r="O35" s="24">
        <v>11106377</v>
      </c>
      <c r="P35" s="24"/>
      <c r="Q35" s="24">
        <v>41166896</v>
      </c>
      <c r="R35" s="24"/>
      <c r="S35" s="24">
        <f t="shared" si="3"/>
        <v>25601324</v>
      </c>
      <c r="T35" s="24"/>
      <c r="U35" s="24">
        <v>5301825</v>
      </c>
      <c r="V35" s="24"/>
      <c r="W35" s="24">
        <v>72070045</v>
      </c>
      <c r="X35" s="24"/>
      <c r="Y35" s="24">
        <f t="shared" si="4"/>
        <v>0</v>
      </c>
    </row>
    <row r="36" spans="1:25" s="93" customFormat="1" ht="12.75" customHeight="1">
      <c r="A36" s="23" t="s">
        <v>34</v>
      </c>
      <c r="B36" s="23"/>
      <c r="C36" s="24">
        <f t="shared" si="1"/>
        <v>14057843</v>
      </c>
      <c r="D36" s="24"/>
      <c r="E36" s="24">
        <f>488565+23431065</f>
        <v>23919630</v>
      </c>
      <c r="F36" s="24"/>
      <c r="G36" s="24">
        <v>0</v>
      </c>
      <c r="H36" s="24"/>
      <c r="I36" s="24">
        <v>37977473</v>
      </c>
      <c r="J36" s="24"/>
      <c r="K36" s="24">
        <f t="shared" si="2"/>
        <v>5638767</v>
      </c>
      <c r="L36" s="24"/>
      <c r="M36" s="24">
        <v>2972446</v>
      </c>
      <c r="N36" s="24"/>
      <c r="O36" s="24">
        <v>8611213</v>
      </c>
      <c r="P36" s="24"/>
      <c r="Q36" s="24">
        <v>21936336</v>
      </c>
      <c r="R36" s="24"/>
      <c r="S36" s="24">
        <f t="shared" si="3"/>
        <v>6431294</v>
      </c>
      <c r="T36" s="24"/>
      <c r="U36" s="24">
        <v>998630</v>
      </c>
      <c r="V36" s="24"/>
      <c r="W36" s="24">
        <v>29366260</v>
      </c>
      <c r="X36" s="24"/>
      <c r="Y36" s="24">
        <f t="shared" si="4"/>
        <v>0</v>
      </c>
    </row>
    <row r="37" spans="1:25" s="93" customFormat="1" ht="12.75" customHeight="1">
      <c r="A37" s="23" t="s">
        <v>35</v>
      </c>
      <c r="B37" s="23"/>
      <c r="C37" s="24">
        <f t="shared" si="1"/>
        <v>81428295</v>
      </c>
      <c r="D37" s="24"/>
      <c r="E37" s="24">
        <f>125697825+34442972</f>
        <v>160140797</v>
      </c>
      <c r="F37" s="24"/>
      <c r="G37" s="24">
        <v>0</v>
      </c>
      <c r="H37" s="24"/>
      <c r="I37" s="24">
        <v>241569092</v>
      </c>
      <c r="J37" s="24"/>
      <c r="K37" s="24">
        <f t="shared" si="2"/>
        <v>31619856</v>
      </c>
      <c r="L37" s="24"/>
      <c r="M37" s="24">
        <v>4803500</v>
      </c>
      <c r="N37" s="24"/>
      <c r="O37" s="24">
        <v>36423356</v>
      </c>
      <c r="P37" s="24"/>
      <c r="Q37" s="24">
        <v>157038178</v>
      </c>
      <c r="R37" s="24"/>
      <c r="S37" s="24">
        <f t="shared" si="3"/>
        <v>37866079</v>
      </c>
      <c r="T37" s="24"/>
      <c r="U37" s="24">
        <v>10241479</v>
      </c>
      <c r="V37" s="24"/>
      <c r="W37" s="24">
        <v>205145736</v>
      </c>
      <c r="X37" s="24"/>
      <c r="Y37" s="24">
        <f t="shared" si="4"/>
        <v>0</v>
      </c>
    </row>
    <row r="38" spans="1:25" s="93" customFormat="1" ht="12.75" customHeight="1">
      <c r="A38" s="23" t="s">
        <v>182</v>
      </c>
      <c r="B38" s="23"/>
      <c r="C38" s="24">
        <f t="shared" si="1"/>
        <v>132096097</v>
      </c>
      <c r="D38" s="24"/>
      <c r="E38" s="24">
        <f>27917019+133412631</f>
        <v>161329650</v>
      </c>
      <c r="F38" s="24"/>
      <c r="G38" s="24">
        <v>0</v>
      </c>
      <c r="H38" s="24"/>
      <c r="I38" s="24">
        <v>293425747</v>
      </c>
      <c r="J38" s="24"/>
      <c r="K38" s="24">
        <f t="shared" si="2"/>
        <v>65096515</v>
      </c>
      <c r="L38" s="24"/>
      <c r="M38" s="24">
        <v>24073832</v>
      </c>
      <c r="N38" s="24"/>
      <c r="O38" s="24">
        <v>89170347</v>
      </c>
      <c r="P38" s="24"/>
      <c r="Q38" s="24">
        <v>141842305</v>
      </c>
      <c r="R38" s="24"/>
      <c r="S38" s="24">
        <f t="shared" si="3"/>
        <v>53626736</v>
      </c>
      <c r="T38" s="24"/>
      <c r="U38" s="24">
        <v>8786359</v>
      </c>
      <c r="V38" s="24"/>
      <c r="W38" s="24">
        <v>204255400</v>
      </c>
      <c r="X38" s="24"/>
      <c r="Y38" s="24">
        <f t="shared" si="4"/>
        <v>0</v>
      </c>
    </row>
    <row r="39" spans="1:25" s="93" customFormat="1" ht="12.75" customHeight="1" hidden="1">
      <c r="A39" s="23" t="s">
        <v>244</v>
      </c>
      <c r="B39" s="23"/>
      <c r="C39" s="24">
        <f t="shared" si="1"/>
        <v>0</v>
      </c>
      <c r="D39" s="24"/>
      <c r="E39" s="24">
        <v>0</v>
      </c>
      <c r="F39" s="24"/>
      <c r="G39" s="24">
        <v>0</v>
      </c>
      <c r="H39" s="24"/>
      <c r="I39" s="24">
        <v>0</v>
      </c>
      <c r="J39" s="24"/>
      <c r="K39" s="24">
        <f t="shared" si="2"/>
        <v>0</v>
      </c>
      <c r="L39" s="24"/>
      <c r="M39" s="24">
        <v>0</v>
      </c>
      <c r="N39" s="24"/>
      <c r="O39" s="24">
        <v>0</v>
      </c>
      <c r="P39" s="24"/>
      <c r="Q39" s="24">
        <v>0</v>
      </c>
      <c r="R39" s="24"/>
      <c r="S39" s="24">
        <f t="shared" si="3"/>
        <v>0</v>
      </c>
      <c r="T39" s="24"/>
      <c r="U39" s="24">
        <v>0</v>
      </c>
      <c r="V39" s="24"/>
      <c r="W39" s="24">
        <v>0</v>
      </c>
      <c r="X39" s="24"/>
      <c r="Y39" s="24">
        <f t="shared" si="4"/>
        <v>0</v>
      </c>
    </row>
    <row r="40" spans="1:25" s="93" customFormat="1" ht="12.75" customHeight="1" hidden="1">
      <c r="A40" s="23" t="s">
        <v>37</v>
      </c>
      <c r="B40" s="23"/>
      <c r="C40" s="24">
        <f>+I40-E40-G40</f>
        <v>0</v>
      </c>
      <c r="D40" s="24"/>
      <c r="E40" s="24">
        <v>0</v>
      </c>
      <c r="F40" s="24"/>
      <c r="G40" s="24">
        <v>0</v>
      </c>
      <c r="H40" s="24"/>
      <c r="I40" s="24">
        <v>0</v>
      </c>
      <c r="J40" s="24"/>
      <c r="K40" s="24">
        <f t="shared" si="2"/>
        <v>0</v>
      </c>
      <c r="L40" s="24"/>
      <c r="M40" s="24">
        <v>0</v>
      </c>
      <c r="N40" s="24"/>
      <c r="O40" s="24">
        <v>0</v>
      </c>
      <c r="P40" s="24"/>
      <c r="Q40" s="24">
        <v>0</v>
      </c>
      <c r="R40" s="24"/>
      <c r="S40" s="24">
        <f t="shared" si="3"/>
        <v>0</v>
      </c>
      <c r="T40" s="24"/>
      <c r="U40" s="24">
        <v>0</v>
      </c>
      <c r="V40" s="24"/>
      <c r="W40" s="24">
        <v>0</v>
      </c>
      <c r="X40" s="24"/>
      <c r="Y40" s="24">
        <f t="shared" si="4"/>
        <v>0</v>
      </c>
    </row>
    <row r="41" spans="1:25" s="93" customFormat="1" ht="12.75" customHeight="1">
      <c r="A41" s="23" t="s">
        <v>38</v>
      </c>
      <c r="B41" s="23"/>
      <c r="C41" s="24">
        <f t="shared" si="1"/>
        <v>58322691</v>
      </c>
      <c r="D41" s="24"/>
      <c r="E41" s="24">
        <v>99837387</v>
      </c>
      <c r="F41" s="24"/>
      <c r="G41" s="24">
        <v>0</v>
      </c>
      <c r="H41" s="24"/>
      <c r="I41" s="24">
        <v>158160078</v>
      </c>
      <c r="J41" s="24"/>
      <c r="K41" s="24">
        <f t="shared" si="2"/>
        <v>16971537</v>
      </c>
      <c r="L41" s="24"/>
      <c r="M41" s="24">
        <v>13264676</v>
      </c>
      <c r="N41" s="24"/>
      <c r="O41" s="24">
        <v>30236213</v>
      </c>
      <c r="P41" s="24"/>
      <c r="Q41" s="24">
        <v>89079826</v>
      </c>
      <c r="R41" s="24"/>
      <c r="S41" s="24">
        <f t="shared" si="3"/>
        <v>35002666</v>
      </c>
      <c r="T41" s="24"/>
      <c r="U41" s="24">
        <v>3841373</v>
      </c>
      <c r="V41" s="24"/>
      <c r="W41" s="24">
        <v>127923865</v>
      </c>
      <c r="X41" s="24"/>
      <c r="Y41" s="24">
        <f t="shared" si="4"/>
        <v>0</v>
      </c>
    </row>
    <row r="42" spans="1:25" s="93" customFormat="1" ht="12.75" customHeight="1" hidden="1">
      <c r="A42" s="23" t="s">
        <v>168</v>
      </c>
      <c r="B42" s="23"/>
      <c r="C42" s="24">
        <f t="shared" si="1"/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24"/>
      <c r="K42" s="24">
        <f t="shared" si="2"/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f t="shared" si="3"/>
        <v>0</v>
      </c>
      <c r="T42" s="24"/>
      <c r="U42" s="24">
        <v>0</v>
      </c>
      <c r="V42" s="24"/>
      <c r="W42" s="24">
        <v>0</v>
      </c>
      <c r="X42" s="24"/>
      <c r="Y42" s="24">
        <f t="shared" si="4"/>
        <v>0</v>
      </c>
    </row>
    <row r="43" spans="1:25" s="93" customFormat="1" ht="12.75" customHeight="1" hidden="1">
      <c r="A43" s="23" t="s">
        <v>39</v>
      </c>
      <c r="B43" s="23"/>
      <c r="C43" s="24">
        <f t="shared" si="1"/>
        <v>0</v>
      </c>
      <c r="D43" s="24"/>
      <c r="E43" s="24">
        <v>0</v>
      </c>
      <c r="F43" s="24"/>
      <c r="G43" s="24">
        <v>0</v>
      </c>
      <c r="H43" s="24"/>
      <c r="I43" s="24">
        <v>0</v>
      </c>
      <c r="J43" s="24"/>
      <c r="K43" s="24">
        <f t="shared" si="2"/>
        <v>0</v>
      </c>
      <c r="L43" s="24"/>
      <c r="M43" s="24">
        <v>0</v>
      </c>
      <c r="N43" s="24"/>
      <c r="O43" s="24">
        <v>0</v>
      </c>
      <c r="P43" s="24"/>
      <c r="Q43" s="24">
        <v>0</v>
      </c>
      <c r="R43" s="24"/>
      <c r="S43" s="24">
        <f t="shared" si="3"/>
        <v>0</v>
      </c>
      <c r="T43" s="24"/>
      <c r="U43" s="24">
        <v>0</v>
      </c>
      <c r="V43" s="24"/>
      <c r="W43" s="24">
        <v>0</v>
      </c>
      <c r="X43" s="24"/>
      <c r="Y43" s="24">
        <f t="shared" si="4"/>
        <v>0</v>
      </c>
    </row>
    <row r="44" spans="1:25" s="93" customFormat="1" ht="12.75" customHeight="1">
      <c r="A44" s="23" t="s">
        <v>40</v>
      </c>
      <c r="B44" s="23"/>
      <c r="C44" s="24">
        <f>+I44-E44-G44</f>
        <v>27941507</v>
      </c>
      <c r="D44" s="24"/>
      <c r="E44" s="24">
        <v>35962642</v>
      </c>
      <c r="F44" s="24"/>
      <c r="G44" s="24">
        <v>0</v>
      </c>
      <c r="H44" s="24"/>
      <c r="I44" s="24">
        <v>63904149</v>
      </c>
      <c r="J44" s="24"/>
      <c r="K44" s="24">
        <f t="shared" si="2"/>
        <v>7943563</v>
      </c>
      <c r="L44" s="24"/>
      <c r="M44" s="24">
        <v>1303321</v>
      </c>
      <c r="N44" s="24"/>
      <c r="O44" s="24">
        <v>9246884</v>
      </c>
      <c r="P44" s="24"/>
      <c r="Q44" s="24">
        <v>35603001</v>
      </c>
      <c r="R44" s="24"/>
      <c r="S44" s="24">
        <f t="shared" si="3"/>
        <v>14934023</v>
      </c>
      <c r="T44" s="24"/>
      <c r="U44" s="24">
        <v>4120241</v>
      </c>
      <c r="V44" s="24"/>
      <c r="W44" s="24">
        <v>54657265</v>
      </c>
      <c r="X44" s="24"/>
      <c r="Y44" s="24">
        <f t="shared" si="4"/>
        <v>0</v>
      </c>
    </row>
    <row r="45" spans="1:25" s="93" customFormat="1" ht="12.75" customHeight="1" hidden="1">
      <c r="A45" s="23" t="s">
        <v>41</v>
      </c>
      <c r="B45" s="23"/>
      <c r="C45" s="24">
        <f t="shared" si="1"/>
        <v>0</v>
      </c>
      <c r="D45" s="24"/>
      <c r="E45" s="24">
        <v>0</v>
      </c>
      <c r="F45" s="24"/>
      <c r="G45" s="24">
        <v>0</v>
      </c>
      <c r="H45" s="24"/>
      <c r="I45" s="24">
        <v>0</v>
      </c>
      <c r="J45" s="24"/>
      <c r="K45" s="24">
        <f t="shared" si="2"/>
        <v>0</v>
      </c>
      <c r="L45" s="24"/>
      <c r="M45" s="24">
        <v>0</v>
      </c>
      <c r="N45" s="24"/>
      <c r="O45" s="24">
        <v>0</v>
      </c>
      <c r="P45" s="24"/>
      <c r="Q45" s="24">
        <v>0</v>
      </c>
      <c r="R45" s="24"/>
      <c r="S45" s="24">
        <f t="shared" si="3"/>
        <v>0</v>
      </c>
      <c r="T45" s="24"/>
      <c r="U45" s="24">
        <v>0</v>
      </c>
      <c r="V45" s="24"/>
      <c r="W45" s="24">
        <v>0</v>
      </c>
      <c r="X45" s="24"/>
      <c r="Y45" s="24">
        <f t="shared" si="4"/>
        <v>0</v>
      </c>
    </row>
    <row r="46" spans="1:25" s="93" customFormat="1" ht="12.75" customHeight="1">
      <c r="A46" s="23" t="s">
        <v>42</v>
      </c>
      <c r="B46" s="23"/>
      <c r="C46" s="146">
        <f t="shared" si="1"/>
        <v>19191412</v>
      </c>
      <c r="D46" s="146"/>
      <c r="E46" s="24">
        <f>1177212+19651857</f>
        <v>20829069</v>
      </c>
      <c r="F46" s="146"/>
      <c r="G46" s="24">
        <v>0</v>
      </c>
      <c r="H46" s="146"/>
      <c r="I46" s="24">
        <v>40020481</v>
      </c>
      <c r="J46" s="146"/>
      <c r="K46" s="146">
        <f t="shared" si="2"/>
        <v>6441172</v>
      </c>
      <c r="L46" s="146"/>
      <c r="M46" s="24">
        <v>1344319</v>
      </c>
      <c r="N46" s="146"/>
      <c r="O46" s="24">
        <v>7785491</v>
      </c>
      <c r="P46" s="146"/>
      <c r="Q46" s="24">
        <v>19963139</v>
      </c>
      <c r="R46" s="146"/>
      <c r="S46" s="146">
        <f t="shared" si="3"/>
        <v>9690358</v>
      </c>
      <c r="T46" s="146"/>
      <c r="U46" s="24">
        <v>2581493</v>
      </c>
      <c r="V46" s="146"/>
      <c r="W46" s="24">
        <v>32234990</v>
      </c>
      <c r="X46" s="146"/>
      <c r="Y46" s="146">
        <f t="shared" si="4"/>
        <v>0</v>
      </c>
    </row>
    <row r="47" spans="1:25" s="93" customFormat="1" ht="12.75" customHeight="1">
      <c r="A47" s="23" t="s">
        <v>43</v>
      </c>
      <c r="B47" s="23"/>
      <c r="C47" s="146">
        <f t="shared" si="1"/>
        <v>20272609</v>
      </c>
      <c r="D47" s="146"/>
      <c r="E47" s="24">
        <f>885677+25958605</f>
        <v>26844282</v>
      </c>
      <c r="F47" s="146"/>
      <c r="G47" s="24">
        <v>0</v>
      </c>
      <c r="H47" s="146"/>
      <c r="I47" s="24">
        <v>47116891</v>
      </c>
      <c r="J47" s="146"/>
      <c r="K47" s="146">
        <f t="shared" si="2"/>
        <v>8558716</v>
      </c>
      <c r="L47" s="146"/>
      <c r="M47" s="24">
        <v>3120768</v>
      </c>
      <c r="N47" s="146"/>
      <c r="O47" s="24">
        <v>11679484</v>
      </c>
      <c r="P47" s="146"/>
      <c r="Q47" s="24">
        <v>23732122</v>
      </c>
      <c r="R47" s="146"/>
      <c r="S47" s="146">
        <f t="shared" si="3"/>
        <v>9737292</v>
      </c>
      <c r="T47" s="146"/>
      <c r="U47" s="24">
        <v>1967993</v>
      </c>
      <c r="V47" s="146"/>
      <c r="W47" s="24">
        <v>35437407</v>
      </c>
      <c r="X47" s="146"/>
      <c r="Y47" s="146">
        <f t="shared" si="4"/>
        <v>0</v>
      </c>
    </row>
    <row r="48" spans="1:25" s="93" customFormat="1" ht="12.75" customHeight="1" hidden="1">
      <c r="A48" s="23" t="s">
        <v>44</v>
      </c>
      <c r="B48" s="23"/>
      <c r="C48" s="146">
        <f t="shared" si="1"/>
        <v>0</v>
      </c>
      <c r="D48" s="146"/>
      <c r="E48" s="24">
        <v>0</v>
      </c>
      <c r="F48" s="146"/>
      <c r="G48" s="24">
        <v>0</v>
      </c>
      <c r="H48" s="146"/>
      <c r="I48" s="24">
        <v>0</v>
      </c>
      <c r="J48" s="146"/>
      <c r="K48" s="146">
        <f t="shared" si="2"/>
        <v>0</v>
      </c>
      <c r="L48" s="146"/>
      <c r="M48" s="24">
        <v>0</v>
      </c>
      <c r="N48" s="146"/>
      <c r="O48" s="24">
        <v>0</v>
      </c>
      <c r="P48" s="146"/>
      <c r="Q48" s="24">
        <v>0</v>
      </c>
      <c r="R48" s="146"/>
      <c r="S48" s="146">
        <f t="shared" si="3"/>
        <v>0</v>
      </c>
      <c r="T48" s="146"/>
      <c r="U48" s="24">
        <v>0</v>
      </c>
      <c r="V48" s="146"/>
      <c r="W48" s="24">
        <v>0</v>
      </c>
      <c r="X48" s="146"/>
      <c r="Y48" s="146">
        <f>I48-O48-W48</f>
        <v>0</v>
      </c>
    </row>
    <row r="49" spans="1:25" s="93" customFormat="1" ht="12.75" customHeight="1" hidden="1">
      <c r="A49" s="23" t="s">
        <v>241</v>
      </c>
      <c r="B49" s="23"/>
      <c r="C49" s="146">
        <f t="shared" si="1"/>
        <v>0</v>
      </c>
      <c r="D49" s="146"/>
      <c r="E49" s="24">
        <v>0</v>
      </c>
      <c r="F49" s="146"/>
      <c r="G49" s="24">
        <v>0</v>
      </c>
      <c r="H49" s="146"/>
      <c r="I49" s="24">
        <v>0</v>
      </c>
      <c r="J49" s="146"/>
      <c r="K49" s="146">
        <f t="shared" si="2"/>
        <v>0</v>
      </c>
      <c r="L49" s="146"/>
      <c r="M49" s="24">
        <v>0</v>
      </c>
      <c r="N49" s="146"/>
      <c r="O49" s="24">
        <v>0</v>
      </c>
      <c r="P49" s="146"/>
      <c r="Q49" s="24">
        <v>0</v>
      </c>
      <c r="R49" s="146"/>
      <c r="S49" s="146">
        <f t="shared" si="3"/>
        <v>0</v>
      </c>
      <c r="T49" s="146"/>
      <c r="U49" s="24">
        <v>0</v>
      </c>
      <c r="V49" s="146"/>
      <c r="W49" s="24">
        <v>0</v>
      </c>
      <c r="X49" s="146"/>
      <c r="Y49" s="146">
        <f t="shared" si="4"/>
        <v>0</v>
      </c>
    </row>
    <row r="50" spans="1:25" s="93" customFormat="1" ht="12.75" customHeight="1">
      <c r="A50" s="23" t="s">
        <v>46</v>
      </c>
      <c r="B50" s="23"/>
      <c r="C50" s="146">
        <f t="shared" si="1"/>
        <v>56372712</v>
      </c>
      <c r="D50" s="146"/>
      <c r="E50" s="24">
        <f>5098336+87075275</f>
        <v>92173611</v>
      </c>
      <c r="F50" s="146"/>
      <c r="G50" s="24">
        <v>170153</v>
      </c>
      <c r="H50" s="146"/>
      <c r="I50" s="24">
        <v>148716476</v>
      </c>
      <c r="J50" s="146"/>
      <c r="K50" s="146">
        <f t="shared" si="2"/>
        <v>16467708</v>
      </c>
      <c r="L50" s="146"/>
      <c r="M50" s="24">
        <v>22647771</v>
      </c>
      <c r="N50" s="146"/>
      <c r="O50" s="24">
        <v>39115479</v>
      </c>
      <c r="P50" s="146"/>
      <c r="Q50" s="24">
        <v>70075743</v>
      </c>
      <c r="R50" s="146"/>
      <c r="S50" s="146">
        <f t="shared" si="3"/>
        <v>33203727</v>
      </c>
      <c r="T50" s="146"/>
      <c r="U50" s="24">
        <v>6321527</v>
      </c>
      <c r="V50" s="146"/>
      <c r="W50" s="24">
        <v>109600997</v>
      </c>
      <c r="X50" s="146"/>
      <c r="Y50" s="146">
        <f t="shared" si="4"/>
        <v>0</v>
      </c>
    </row>
    <row r="51" spans="1:27" s="93" customFormat="1" ht="12.75" customHeight="1">
      <c r="A51" s="23" t="s">
        <v>47</v>
      </c>
      <c r="B51" s="23"/>
      <c r="C51" s="146">
        <f t="shared" si="1"/>
        <v>41740140</v>
      </c>
      <c r="D51" s="146"/>
      <c r="E51" s="24">
        <f>4895817+52782955</f>
        <v>57678772</v>
      </c>
      <c r="F51" s="146"/>
      <c r="G51" s="24">
        <v>192557</v>
      </c>
      <c r="H51" s="146"/>
      <c r="I51" s="24">
        <v>99611469</v>
      </c>
      <c r="J51" s="146"/>
      <c r="K51" s="146">
        <f t="shared" si="2"/>
        <v>12890306</v>
      </c>
      <c r="L51" s="146"/>
      <c r="M51" s="24">
        <v>9173342</v>
      </c>
      <c r="N51" s="146"/>
      <c r="O51" s="24">
        <v>22063648</v>
      </c>
      <c r="P51" s="146"/>
      <c r="Q51" s="24">
        <v>49273409</v>
      </c>
      <c r="R51" s="146"/>
      <c r="S51" s="146">
        <f t="shared" si="3"/>
        <v>23119705</v>
      </c>
      <c r="T51" s="146"/>
      <c r="U51" s="24">
        <v>5154707</v>
      </c>
      <c r="V51" s="146"/>
      <c r="W51" s="24">
        <v>77547821</v>
      </c>
      <c r="X51" s="146"/>
      <c r="Y51" s="146">
        <f t="shared" si="4"/>
        <v>0</v>
      </c>
      <c r="AA51" s="93" t="s">
        <v>227</v>
      </c>
    </row>
    <row r="52" spans="1:25" s="93" customFormat="1" ht="12.75" customHeight="1">
      <c r="A52" s="23" t="s">
        <v>48</v>
      </c>
      <c r="B52" s="23"/>
      <c r="C52" s="146">
        <f t="shared" si="1"/>
        <v>169475192</v>
      </c>
      <c r="D52" s="146"/>
      <c r="E52" s="24">
        <f>37108507+111335795</f>
        <v>148444302</v>
      </c>
      <c r="F52" s="146"/>
      <c r="G52" s="24">
        <v>0</v>
      </c>
      <c r="H52" s="146"/>
      <c r="I52" s="24">
        <v>317919494</v>
      </c>
      <c r="J52" s="146"/>
      <c r="K52" s="146">
        <f t="shared" si="2"/>
        <v>65229698</v>
      </c>
      <c r="L52" s="146"/>
      <c r="M52" s="24">
        <v>34999760</v>
      </c>
      <c r="N52" s="146"/>
      <c r="O52" s="24">
        <v>100229458</v>
      </c>
      <c r="P52" s="146"/>
      <c r="Q52" s="24">
        <v>127745311</v>
      </c>
      <c r="R52" s="146"/>
      <c r="S52" s="146">
        <f t="shared" si="3"/>
        <v>70352428</v>
      </c>
      <c r="T52" s="146"/>
      <c r="U52" s="24">
        <v>19592297</v>
      </c>
      <c r="V52" s="146"/>
      <c r="W52" s="24">
        <v>217690036</v>
      </c>
      <c r="X52" s="146"/>
      <c r="Y52" s="146">
        <f t="shared" si="4"/>
        <v>0</v>
      </c>
    </row>
    <row r="53" spans="1:25" s="93" customFormat="1" ht="12.75" customHeight="1" hidden="1">
      <c r="A53" s="23" t="s">
        <v>236</v>
      </c>
      <c r="B53" s="23"/>
      <c r="C53" s="146">
        <f t="shared" si="1"/>
        <v>0</v>
      </c>
      <c r="D53" s="146"/>
      <c r="E53" s="24">
        <v>0</v>
      </c>
      <c r="F53" s="146"/>
      <c r="G53" s="24">
        <v>0</v>
      </c>
      <c r="H53" s="146"/>
      <c r="I53" s="24">
        <v>0</v>
      </c>
      <c r="J53" s="146"/>
      <c r="K53" s="146">
        <f t="shared" si="2"/>
        <v>0</v>
      </c>
      <c r="L53" s="146"/>
      <c r="M53" s="24">
        <v>0</v>
      </c>
      <c r="N53" s="146"/>
      <c r="O53" s="24">
        <v>0</v>
      </c>
      <c r="P53" s="146"/>
      <c r="Q53" s="24">
        <v>0</v>
      </c>
      <c r="R53" s="146"/>
      <c r="S53" s="146">
        <f t="shared" si="3"/>
        <v>0</v>
      </c>
      <c r="T53" s="146"/>
      <c r="U53" s="24">
        <v>0</v>
      </c>
      <c r="V53" s="146"/>
      <c r="W53" s="24">
        <v>0</v>
      </c>
      <c r="X53" s="146"/>
      <c r="Y53" s="146">
        <f t="shared" si="4"/>
        <v>0</v>
      </c>
    </row>
    <row r="54" spans="1:25" s="93" customFormat="1" ht="12.75" customHeight="1">
      <c r="A54" s="23" t="s">
        <v>49</v>
      </c>
      <c r="B54" s="23"/>
      <c r="C54" s="146">
        <f t="shared" si="1"/>
        <v>86311221</v>
      </c>
      <c r="D54" s="146"/>
      <c r="E54" s="24">
        <f>10620326+56289980</f>
        <v>66910306</v>
      </c>
      <c r="F54" s="146"/>
      <c r="G54" s="24">
        <v>0</v>
      </c>
      <c r="H54" s="146"/>
      <c r="I54" s="24">
        <v>153221527</v>
      </c>
      <c r="J54" s="146"/>
      <c r="K54" s="146">
        <f t="shared" si="2"/>
        <v>35861967</v>
      </c>
      <c r="L54" s="146"/>
      <c r="M54" s="24">
        <v>9216243</v>
      </c>
      <c r="N54" s="146"/>
      <c r="O54" s="24">
        <v>45078210</v>
      </c>
      <c r="P54" s="146"/>
      <c r="Q54" s="24">
        <v>55042863</v>
      </c>
      <c r="R54" s="146"/>
      <c r="S54" s="146">
        <f t="shared" si="3"/>
        <v>27214456</v>
      </c>
      <c r="T54" s="146"/>
      <c r="U54" s="24">
        <v>25885998</v>
      </c>
      <c r="V54" s="146"/>
      <c r="W54" s="24">
        <v>108143317</v>
      </c>
      <c r="X54" s="146"/>
      <c r="Y54" s="146">
        <f>I54-O54-W54</f>
        <v>0</v>
      </c>
    </row>
    <row r="55" spans="1:25" s="93" customFormat="1" ht="12.75" customHeight="1">
      <c r="A55" s="23" t="s">
        <v>50</v>
      </c>
      <c r="B55" s="23"/>
      <c r="C55" s="146">
        <f t="shared" si="1"/>
        <v>31739542</v>
      </c>
      <c r="D55" s="146"/>
      <c r="E55" s="24">
        <f>4539133+62262832</f>
        <v>66801965</v>
      </c>
      <c r="F55" s="146"/>
      <c r="G55" s="24">
        <v>0</v>
      </c>
      <c r="H55" s="146"/>
      <c r="I55" s="24">
        <v>98541507</v>
      </c>
      <c r="J55" s="146"/>
      <c r="K55" s="146">
        <f t="shared" si="2"/>
        <v>13614829</v>
      </c>
      <c r="L55" s="146"/>
      <c r="M55" s="24">
        <v>5244524</v>
      </c>
      <c r="N55" s="146"/>
      <c r="O55" s="24">
        <v>18859353</v>
      </c>
      <c r="P55" s="146"/>
      <c r="Q55" s="24">
        <v>58128590</v>
      </c>
      <c r="R55" s="146"/>
      <c r="S55" s="146">
        <f t="shared" si="3"/>
        <v>1681627</v>
      </c>
      <c r="T55" s="146"/>
      <c r="U55" s="24">
        <v>19871937</v>
      </c>
      <c r="V55" s="146"/>
      <c r="W55" s="24">
        <v>79682154</v>
      </c>
      <c r="X55" s="146"/>
      <c r="Y55" s="146">
        <f t="shared" si="4"/>
        <v>0</v>
      </c>
    </row>
    <row r="56" spans="1:25" s="93" customFormat="1" ht="12.75" customHeight="1">
      <c r="A56" s="23" t="s">
        <v>246</v>
      </c>
      <c r="B56" s="23"/>
      <c r="C56" s="146">
        <f t="shared" si="1"/>
        <v>209453099</v>
      </c>
      <c r="D56" s="146"/>
      <c r="E56" s="24">
        <f>11785153+126651660</f>
        <v>138436813</v>
      </c>
      <c r="F56" s="146"/>
      <c r="G56" s="24">
        <v>0</v>
      </c>
      <c r="H56" s="146"/>
      <c r="I56" s="24">
        <v>347889912</v>
      </c>
      <c r="J56" s="146"/>
      <c r="K56" s="146">
        <f t="shared" si="2"/>
        <v>74900426</v>
      </c>
      <c r="L56" s="146"/>
      <c r="M56" s="24">
        <v>38575476</v>
      </c>
      <c r="N56" s="146"/>
      <c r="O56" s="24">
        <v>113475902</v>
      </c>
      <c r="P56" s="146"/>
      <c r="Q56" s="24">
        <v>109806034</v>
      </c>
      <c r="R56" s="146"/>
      <c r="S56" s="146">
        <f t="shared" si="3"/>
        <v>4101344</v>
      </c>
      <c r="T56" s="146"/>
      <c r="U56" s="24">
        <v>120506632</v>
      </c>
      <c r="V56" s="146"/>
      <c r="W56" s="24">
        <v>234414010</v>
      </c>
      <c r="X56" s="146"/>
      <c r="Y56" s="146">
        <f t="shared" si="4"/>
        <v>0</v>
      </c>
    </row>
    <row r="57" spans="1:26" s="93" customFormat="1" ht="12.75" customHeight="1">
      <c r="A57" s="23" t="s">
        <v>183</v>
      </c>
      <c r="B57" s="23"/>
      <c r="C57" s="146">
        <f t="shared" si="1"/>
        <v>391961270</v>
      </c>
      <c r="D57" s="146"/>
      <c r="E57" s="24">
        <f>319262002</f>
        <v>319262002</v>
      </c>
      <c r="F57" s="146"/>
      <c r="G57" s="24">
        <v>0</v>
      </c>
      <c r="H57" s="146"/>
      <c r="I57" s="24">
        <v>711223272</v>
      </c>
      <c r="J57" s="146"/>
      <c r="K57" s="146">
        <f t="shared" si="2"/>
        <v>187927009</v>
      </c>
      <c r="L57" s="146"/>
      <c r="M57" s="24">
        <v>128233132</v>
      </c>
      <c r="N57" s="146"/>
      <c r="O57" s="24">
        <v>316160141</v>
      </c>
      <c r="P57" s="146"/>
      <c r="Q57" s="24">
        <v>175461604</v>
      </c>
      <c r="R57" s="146"/>
      <c r="S57" s="146">
        <f t="shared" si="3"/>
        <v>173835725</v>
      </c>
      <c r="T57" s="146"/>
      <c r="U57" s="24">
        <v>45765802</v>
      </c>
      <c r="V57" s="146"/>
      <c r="W57" s="24">
        <v>395063131</v>
      </c>
      <c r="X57" s="146"/>
      <c r="Y57" s="146">
        <f t="shared" si="4"/>
        <v>0</v>
      </c>
      <c r="Z57" s="93" t="s">
        <v>227</v>
      </c>
    </row>
    <row r="58" spans="1:25" s="93" customFormat="1" ht="12.75" customHeight="1" hidden="1">
      <c r="A58" s="23" t="s">
        <v>52</v>
      </c>
      <c r="B58" s="23"/>
      <c r="C58" s="146">
        <f t="shared" si="1"/>
        <v>0</v>
      </c>
      <c r="D58" s="146"/>
      <c r="E58" s="24">
        <v>0</v>
      </c>
      <c r="F58" s="146"/>
      <c r="G58" s="24">
        <v>0</v>
      </c>
      <c r="H58" s="146"/>
      <c r="I58" s="24">
        <v>0</v>
      </c>
      <c r="J58" s="146"/>
      <c r="K58" s="146">
        <f t="shared" si="2"/>
        <v>0</v>
      </c>
      <c r="L58" s="146"/>
      <c r="M58" s="24">
        <v>0</v>
      </c>
      <c r="N58" s="146"/>
      <c r="O58" s="24">
        <v>0</v>
      </c>
      <c r="P58" s="146"/>
      <c r="Q58" s="24">
        <v>0</v>
      </c>
      <c r="R58" s="146"/>
      <c r="S58" s="146">
        <f t="shared" si="3"/>
        <v>0</v>
      </c>
      <c r="T58" s="146"/>
      <c r="U58" s="24">
        <v>0</v>
      </c>
      <c r="V58" s="146"/>
      <c r="W58" s="24">
        <v>0</v>
      </c>
      <c r="X58" s="146"/>
      <c r="Y58" s="146">
        <f t="shared" si="4"/>
        <v>0</v>
      </c>
    </row>
    <row r="59" spans="1:26" s="93" customFormat="1" ht="12.75" customHeight="1">
      <c r="A59" s="23" t="s">
        <v>53</v>
      </c>
      <c r="B59" s="23"/>
      <c r="C59" s="146">
        <f t="shared" si="1"/>
        <v>157413696</v>
      </c>
      <c r="D59" s="146"/>
      <c r="E59" s="24">
        <f>9888366+136474161</f>
        <v>146362527</v>
      </c>
      <c r="F59" s="146"/>
      <c r="G59" s="24">
        <v>1381794</v>
      </c>
      <c r="H59" s="146"/>
      <c r="I59" s="24">
        <v>305158017</v>
      </c>
      <c r="J59" s="146"/>
      <c r="K59" s="146">
        <f t="shared" si="2"/>
        <v>64440298</v>
      </c>
      <c r="L59" s="146"/>
      <c r="M59" s="24">
        <v>47089453</v>
      </c>
      <c r="N59" s="146"/>
      <c r="O59" s="24">
        <v>111529751</v>
      </c>
      <c r="P59" s="146"/>
      <c r="Q59" s="24">
        <v>103555314</v>
      </c>
      <c r="R59" s="146"/>
      <c r="S59" s="146">
        <f t="shared" si="3"/>
        <v>88057503</v>
      </c>
      <c r="T59" s="146"/>
      <c r="U59" s="24">
        <v>2015449</v>
      </c>
      <c r="V59" s="146"/>
      <c r="W59" s="24">
        <v>193628266</v>
      </c>
      <c r="X59" s="146"/>
      <c r="Y59" s="146">
        <f t="shared" si="4"/>
        <v>0</v>
      </c>
      <c r="Z59" s="94"/>
    </row>
    <row r="60" spans="1:25" s="93" customFormat="1" ht="12.75" customHeight="1">
      <c r="A60" s="23" t="s">
        <v>54</v>
      </c>
      <c r="B60" s="23"/>
      <c r="C60" s="146">
        <f t="shared" si="1"/>
        <v>43960600</v>
      </c>
      <c r="D60" s="146"/>
      <c r="E60" s="24">
        <f>16062582+50328523</f>
        <v>66391105</v>
      </c>
      <c r="F60" s="146"/>
      <c r="G60" s="24">
        <v>0</v>
      </c>
      <c r="H60" s="146"/>
      <c r="I60" s="24">
        <v>110351705</v>
      </c>
      <c r="J60" s="146"/>
      <c r="K60" s="146">
        <f t="shared" si="2"/>
        <v>14403216</v>
      </c>
      <c r="L60" s="146"/>
      <c r="M60" s="24">
        <v>11836420</v>
      </c>
      <c r="N60" s="146"/>
      <c r="O60" s="24">
        <v>26239636</v>
      </c>
      <c r="P60" s="146"/>
      <c r="Q60" s="24">
        <v>58514744</v>
      </c>
      <c r="R60" s="146"/>
      <c r="S60" s="146">
        <f t="shared" si="3"/>
        <v>24714574</v>
      </c>
      <c r="T60" s="146"/>
      <c r="U60" s="24">
        <v>882751</v>
      </c>
      <c r="V60" s="146"/>
      <c r="W60" s="24">
        <v>84112069</v>
      </c>
      <c r="X60" s="146"/>
      <c r="Y60" s="146">
        <f t="shared" si="4"/>
        <v>0</v>
      </c>
    </row>
    <row r="61" spans="1:25" s="93" customFormat="1" ht="12.75" customHeight="1">
      <c r="A61" s="23" t="s">
        <v>55</v>
      </c>
      <c r="B61" s="23"/>
      <c r="C61" s="146">
        <f t="shared" si="1"/>
        <v>92531670</v>
      </c>
      <c r="D61" s="146"/>
      <c r="E61" s="24">
        <f>3798505+52011486</f>
        <v>55809991</v>
      </c>
      <c r="F61" s="146"/>
      <c r="G61" s="24">
        <v>107332</v>
      </c>
      <c r="H61" s="146"/>
      <c r="I61" s="24">
        <v>148448993</v>
      </c>
      <c r="J61" s="146"/>
      <c r="K61" s="146">
        <f t="shared" si="2"/>
        <v>36604303</v>
      </c>
      <c r="L61" s="146"/>
      <c r="M61" s="24">
        <v>11121697</v>
      </c>
      <c r="N61" s="146"/>
      <c r="O61" s="24">
        <v>47726000</v>
      </c>
      <c r="P61" s="146"/>
      <c r="Q61" s="24">
        <v>50886694</v>
      </c>
      <c r="R61" s="146"/>
      <c r="S61" s="146">
        <f t="shared" si="3"/>
        <v>44066418</v>
      </c>
      <c r="T61" s="146"/>
      <c r="U61" s="24">
        <v>5769881</v>
      </c>
      <c r="V61" s="146"/>
      <c r="W61" s="24">
        <v>100722993</v>
      </c>
      <c r="X61" s="146"/>
      <c r="Y61" s="146">
        <f t="shared" si="4"/>
        <v>0</v>
      </c>
    </row>
    <row r="62" spans="1:25" s="93" customFormat="1" ht="12.75" customHeight="1" hidden="1">
      <c r="A62" s="23" t="s">
        <v>171</v>
      </c>
      <c r="B62" s="23"/>
      <c r="C62" s="146">
        <f t="shared" si="1"/>
        <v>0</v>
      </c>
      <c r="D62" s="146"/>
      <c r="E62" s="24">
        <v>0</v>
      </c>
      <c r="F62" s="146"/>
      <c r="G62" s="24">
        <v>0</v>
      </c>
      <c r="H62" s="146"/>
      <c r="I62" s="24">
        <v>0</v>
      </c>
      <c r="J62" s="146"/>
      <c r="K62" s="146">
        <f t="shared" si="2"/>
        <v>0</v>
      </c>
      <c r="L62" s="146"/>
      <c r="M62" s="24">
        <v>0</v>
      </c>
      <c r="N62" s="146"/>
      <c r="O62" s="24">
        <v>0</v>
      </c>
      <c r="P62" s="146"/>
      <c r="Q62" s="24">
        <v>0</v>
      </c>
      <c r="R62" s="146"/>
      <c r="S62" s="146">
        <f t="shared" si="3"/>
        <v>0</v>
      </c>
      <c r="T62" s="146"/>
      <c r="U62" s="24">
        <v>0</v>
      </c>
      <c r="V62" s="146"/>
      <c r="W62" s="24">
        <v>0</v>
      </c>
      <c r="X62" s="146"/>
      <c r="Y62" s="146">
        <f t="shared" si="4"/>
        <v>0</v>
      </c>
    </row>
    <row r="63" spans="1:25" s="93" customFormat="1" ht="12.75" customHeight="1" hidden="1">
      <c r="A63" s="23" t="s">
        <v>56</v>
      </c>
      <c r="B63" s="23"/>
      <c r="C63" s="146">
        <f t="shared" si="1"/>
        <v>0</v>
      </c>
      <c r="D63" s="146"/>
      <c r="E63" s="24">
        <v>0</v>
      </c>
      <c r="F63" s="146"/>
      <c r="G63" s="24">
        <v>0</v>
      </c>
      <c r="H63" s="146"/>
      <c r="I63" s="24">
        <v>0</v>
      </c>
      <c r="J63" s="146"/>
      <c r="K63" s="146">
        <f t="shared" si="2"/>
        <v>0</v>
      </c>
      <c r="L63" s="146"/>
      <c r="M63" s="24">
        <v>0</v>
      </c>
      <c r="N63" s="146"/>
      <c r="O63" s="24">
        <v>0</v>
      </c>
      <c r="P63" s="146"/>
      <c r="Q63" s="24">
        <v>0</v>
      </c>
      <c r="R63" s="146"/>
      <c r="S63" s="146">
        <f t="shared" si="3"/>
        <v>0</v>
      </c>
      <c r="T63" s="146"/>
      <c r="U63" s="24">
        <v>0</v>
      </c>
      <c r="V63" s="146"/>
      <c r="W63" s="24">
        <v>0</v>
      </c>
      <c r="X63" s="146"/>
      <c r="Y63" s="146">
        <f t="shared" si="4"/>
        <v>0</v>
      </c>
    </row>
    <row r="64" spans="1:25" s="93" customFormat="1" ht="12.75" customHeight="1">
      <c r="A64" s="23" t="s">
        <v>57</v>
      </c>
      <c r="B64" s="23"/>
      <c r="C64" s="146">
        <f t="shared" si="1"/>
        <v>68045870</v>
      </c>
      <c r="D64" s="146"/>
      <c r="E64" s="24">
        <f>5517735+83946118</f>
        <v>89463853</v>
      </c>
      <c r="F64" s="146"/>
      <c r="G64" s="24">
        <v>0</v>
      </c>
      <c r="H64" s="146"/>
      <c r="I64" s="24">
        <v>157509723</v>
      </c>
      <c r="J64" s="146"/>
      <c r="K64" s="146">
        <f t="shared" si="2"/>
        <v>17310275</v>
      </c>
      <c r="L64" s="146"/>
      <c r="M64" s="24">
        <v>17773503</v>
      </c>
      <c r="N64" s="146"/>
      <c r="O64" s="24">
        <v>35083778</v>
      </c>
      <c r="P64" s="146"/>
      <c r="Q64" s="24">
        <v>80495795</v>
      </c>
      <c r="R64" s="146"/>
      <c r="S64" s="146">
        <f t="shared" si="3"/>
        <v>27924768</v>
      </c>
      <c r="T64" s="146"/>
      <c r="U64" s="24">
        <v>14005382</v>
      </c>
      <c r="V64" s="146"/>
      <c r="W64" s="24">
        <v>122425945</v>
      </c>
      <c r="X64" s="146"/>
      <c r="Y64" s="146">
        <f t="shared" si="4"/>
        <v>0</v>
      </c>
    </row>
    <row r="65" spans="1:25" s="93" customFormat="1" ht="12.75" customHeight="1">
      <c r="A65" s="133" t="s">
        <v>58</v>
      </c>
      <c r="B65" s="23"/>
      <c r="C65" s="146">
        <f t="shared" si="1"/>
        <v>10343422</v>
      </c>
      <c r="D65" s="146"/>
      <c r="E65" s="24">
        <f>240017+16688638</f>
        <v>16928655</v>
      </c>
      <c r="F65" s="146"/>
      <c r="G65" s="24">
        <v>0</v>
      </c>
      <c r="H65" s="146"/>
      <c r="I65" s="24">
        <v>27272077</v>
      </c>
      <c r="J65" s="146"/>
      <c r="K65" s="146">
        <f t="shared" si="2"/>
        <v>2368607</v>
      </c>
      <c r="L65" s="146"/>
      <c r="M65" s="24">
        <v>598295</v>
      </c>
      <c r="N65" s="146"/>
      <c r="O65" s="24">
        <v>2966902</v>
      </c>
      <c r="P65" s="146"/>
      <c r="Q65" s="24">
        <v>16611287</v>
      </c>
      <c r="R65" s="146"/>
      <c r="S65" s="146">
        <f t="shared" si="3"/>
        <v>6857216</v>
      </c>
      <c r="T65" s="146"/>
      <c r="U65" s="24">
        <v>836672</v>
      </c>
      <c r="V65" s="146"/>
      <c r="W65" s="24">
        <v>24305175</v>
      </c>
      <c r="X65" s="146"/>
      <c r="Y65" s="146">
        <f t="shared" si="4"/>
        <v>0</v>
      </c>
    </row>
    <row r="66" spans="1:25" s="93" customFormat="1" ht="12.75" customHeight="1">
      <c r="A66" s="23" t="s">
        <v>59</v>
      </c>
      <c r="B66" s="23"/>
      <c r="C66" s="24">
        <f>+I66-E66-G66</f>
        <v>549538623</v>
      </c>
      <c r="D66" s="24"/>
      <c r="E66" s="24">
        <f>374644096+161558931</f>
        <v>536203027</v>
      </c>
      <c r="F66" s="24"/>
      <c r="G66" s="24">
        <v>0</v>
      </c>
      <c r="H66" s="24"/>
      <c r="I66" s="24">
        <v>1085741650</v>
      </c>
      <c r="J66" s="24"/>
      <c r="K66" s="24">
        <f t="shared" si="2"/>
        <v>203470244</v>
      </c>
      <c r="L66" s="24"/>
      <c r="M66" s="24">
        <v>52785831</v>
      </c>
      <c r="N66" s="24"/>
      <c r="O66" s="24">
        <v>256256075</v>
      </c>
      <c r="P66" s="24"/>
      <c r="Q66" s="24">
        <v>497684238</v>
      </c>
      <c r="R66" s="24"/>
      <c r="S66" s="24">
        <f t="shared" si="3"/>
        <v>126414900</v>
      </c>
      <c r="T66" s="24"/>
      <c r="U66" s="24">
        <v>205386437</v>
      </c>
      <c r="V66" s="24"/>
      <c r="W66" s="24">
        <v>829485575</v>
      </c>
      <c r="X66" s="24"/>
      <c r="Y66" s="24">
        <f t="shared" si="4"/>
        <v>0</v>
      </c>
    </row>
    <row r="67" spans="1:25" s="93" customFormat="1" ht="12.75" customHeight="1" hidden="1">
      <c r="A67" s="23" t="s">
        <v>60</v>
      </c>
      <c r="B67" s="23"/>
      <c r="C67" s="24">
        <f t="shared" si="1"/>
        <v>0</v>
      </c>
      <c r="D67" s="24"/>
      <c r="E67" s="24">
        <v>0</v>
      </c>
      <c r="F67" s="24"/>
      <c r="G67" s="24">
        <v>0</v>
      </c>
      <c r="H67" s="24"/>
      <c r="I67" s="24">
        <v>0</v>
      </c>
      <c r="J67" s="24"/>
      <c r="K67" s="24">
        <f t="shared" si="2"/>
        <v>0</v>
      </c>
      <c r="L67" s="24"/>
      <c r="M67" s="24">
        <v>0</v>
      </c>
      <c r="N67" s="24"/>
      <c r="O67" s="24">
        <v>0</v>
      </c>
      <c r="P67" s="24"/>
      <c r="Q67" s="24">
        <v>0</v>
      </c>
      <c r="R67" s="24"/>
      <c r="S67" s="24">
        <f t="shared" si="3"/>
        <v>0</v>
      </c>
      <c r="T67" s="24"/>
      <c r="U67" s="24">
        <v>0</v>
      </c>
      <c r="V67" s="24"/>
      <c r="W67" s="24">
        <v>0</v>
      </c>
      <c r="X67" s="24"/>
      <c r="Y67" s="24">
        <f t="shared" si="4"/>
        <v>0</v>
      </c>
    </row>
    <row r="68" spans="1:25" s="93" customFormat="1" ht="12.75" customHeight="1">
      <c r="A68" s="23" t="s">
        <v>97</v>
      </c>
      <c r="B68" s="23"/>
      <c r="C68" s="24">
        <f>+I68-E68-G68</f>
        <v>19144770</v>
      </c>
      <c r="D68" s="24"/>
      <c r="E68" s="24">
        <f>2743077+28658606</f>
        <v>31401683</v>
      </c>
      <c r="F68" s="24"/>
      <c r="G68" s="24">
        <v>0</v>
      </c>
      <c r="H68" s="24"/>
      <c r="I68" s="24">
        <v>50546453</v>
      </c>
      <c r="J68" s="24"/>
      <c r="K68" s="24">
        <f t="shared" si="2"/>
        <v>5447922</v>
      </c>
      <c r="L68" s="24"/>
      <c r="M68" s="24">
        <v>6941126</v>
      </c>
      <c r="N68" s="24"/>
      <c r="O68" s="24">
        <v>12389048</v>
      </c>
      <c r="P68" s="24"/>
      <c r="Q68" s="24">
        <v>24710538</v>
      </c>
      <c r="R68" s="24"/>
      <c r="S68" s="24">
        <f t="shared" si="3"/>
        <v>11486933</v>
      </c>
      <c r="T68" s="24"/>
      <c r="U68" s="24">
        <v>1959934</v>
      </c>
      <c r="V68" s="24"/>
      <c r="W68" s="24">
        <v>38157405</v>
      </c>
      <c r="X68" s="24"/>
      <c r="Y68" s="24">
        <f t="shared" si="4"/>
        <v>0</v>
      </c>
    </row>
    <row r="69" spans="1:25" s="93" customFormat="1" ht="12.75" customHeight="1">
      <c r="A69" s="23" t="s">
        <v>61</v>
      </c>
      <c r="B69" s="23"/>
      <c r="C69" s="24">
        <f t="shared" si="1"/>
        <v>81183242</v>
      </c>
      <c r="D69" s="24"/>
      <c r="E69" s="24">
        <f>40544602+61579536</f>
        <v>102124138</v>
      </c>
      <c r="F69" s="24"/>
      <c r="G69" s="24">
        <v>0</v>
      </c>
      <c r="H69" s="24"/>
      <c r="I69" s="24">
        <v>183307380</v>
      </c>
      <c r="J69" s="24"/>
      <c r="K69" s="24">
        <f t="shared" si="2"/>
        <v>28598054</v>
      </c>
      <c r="L69" s="24"/>
      <c r="M69" s="24">
        <v>22300797</v>
      </c>
      <c r="N69" s="24"/>
      <c r="O69" s="24">
        <v>50898851</v>
      </c>
      <c r="P69" s="24"/>
      <c r="Q69" s="24">
        <v>80698922</v>
      </c>
      <c r="R69" s="24"/>
      <c r="S69" s="24">
        <f t="shared" si="3"/>
        <v>42736422</v>
      </c>
      <c r="T69" s="24"/>
      <c r="U69" s="24">
        <v>8973185</v>
      </c>
      <c r="V69" s="24"/>
      <c r="W69" s="24">
        <v>132408529</v>
      </c>
      <c r="X69" s="24"/>
      <c r="Y69" s="24">
        <f t="shared" si="4"/>
        <v>0</v>
      </c>
    </row>
    <row r="70" spans="1:25" ht="12.75" customHeight="1">
      <c r="A70" s="23" t="s">
        <v>62</v>
      </c>
      <c r="B70" s="23"/>
      <c r="C70" s="24">
        <f t="shared" si="1"/>
        <v>11349111</v>
      </c>
      <c r="D70" s="24"/>
      <c r="E70" s="24">
        <f>13335739+10163803</f>
        <v>23499542</v>
      </c>
      <c r="F70" s="24"/>
      <c r="G70" s="24">
        <v>0</v>
      </c>
      <c r="H70" s="24"/>
      <c r="I70" s="24">
        <v>34848653</v>
      </c>
      <c r="J70" s="24"/>
      <c r="K70" s="24">
        <f t="shared" si="2"/>
        <v>2688667</v>
      </c>
      <c r="L70" s="24"/>
      <c r="M70" s="24">
        <v>735841</v>
      </c>
      <c r="N70" s="24"/>
      <c r="O70" s="24">
        <v>3424508</v>
      </c>
      <c r="P70" s="24"/>
      <c r="Q70" s="24">
        <v>22993802</v>
      </c>
      <c r="R70" s="24"/>
      <c r="S70" s="24">
        <f t="shared" si="3"/>
        <v>7232800</v>
      </c>
      <c r="T70" s="24"/>
      <c r="U70" s="24">
        <v>1197543</v>
      </c>
      <c r="V70" s="24"/>
      <c r="W70" s="24">
        <v>31424145</v>
      </c>
      <c r="X70" s="25"/>
      <c r="Y70" s="25">
        <f>I70-O70-W70</f>
        <v>0</v>
      </c>
    </row>
    <row r="71" spans="1:25" s="93" customFormat="1" ht="12.75" customHeight="1" hidden="1">
      <c r="A71" s="23" t="s">
        <v>224</v>
      </c>
      <c r="B71" s="23"/>
      <c r="C71" s="24">
        <f t="shared" si="1"/>
        <v>0</v>
      </c>
      <c r="D71" s="24"/>
      <c r="E71" s="24">
        <v>0</v>
      </c>
      <c r="F71" s="24"/>
      <c r="G71" s="24">
        <v>0</v>
      </c>
      <c r="H71" s="24"/>
      <c r="I71" s="24">
        <v>0</v>
      </c>
      <c r="J71" s="24"/>
      <c r="K71" s="24">
        <f t="shared" si="2"/>
        <v>0</v>
      </c>
      <c r="L71" s="24"/>
      <c r="M71" s="24">
        <v>0</v>
      </c>
      <c r="N71" s="24"/>
      <c r="O71" s="24">
        <v>0</v>
      </c>
      <c r="P71" s="24"/>
      <c r="Q71" s="24">
        <v>0</v>
      </c>
      <c r="R71" s="24"/>
      <c r="S71" s="24">
        <f t="shared" si="3"/>
        <v>0</v>
      </c>
      <c r="T71" s="24"/>
      <c r="U71" s="24">
        <v>0</v>
      </c>
      <c r="V71" s="24"/>
      <c r="W71" s="24">
        <v>0</v>
      </c>
      <c r="X71" s="24"/>
      <c r="Y71" s="24">
        <f t="shared" si="4"/>
        <v>0</v>
      </c>
    </row>
    <row r="72" spans="1:25" s="93" customFormat="1" ht="12.75" customHeight="1" hidden="1">
      <c r="A72" s="23" t="s">
        <v>132</v>
      </c>
      <c r="B72" s="23"/>
      <c r="C72" s="24">
        <f t="shared" si="1"/>
        <v>0</v>
      </c>
      <c r="D72" s="24"/>
      <c r="E72" s="24">
        <v>0</v>
      </c>
      <c r="F72" s="24"/>
      <c r="G72" s="24">
        <v>0</v>
      </c>
      <c r="H72" s="24"/>
      <c r="I72" s="24">
        <v>0</v>
      </c>
      <c r="J72" s="24"/>
      <c r="K72" s="24">
        <f t="shared" si="2"/>
        <v>0</v>
      </c>
      <c r="L72" s="24"/>
      <c r="M72" s="24">
        <v>0</v>
      </c>
      <c r="N72" s="24"/>
      <c r="O72" s="24">
        <v>0</v>
      </c>
      <c r="P72" s="24"/>
      <c r="Q72" s="24">
        <v>0</v>
      </c>
      <c r="R72" s="24"/>
      <c r="S72" s="24">
        <f t="shared" si="3"/>
        <v>0</v>
      </c>
      <c r="T72" s="24"/>
      <c r="U72" s="24">
        <v>0</v>
      </c>
      <c r="V72" s="24"/>
      <c r="W72" s="24">
        <v>0</v>
      </c>
      <c r="X72" s="24"/>
      <c r="Y72" s="24">
        <f t="shared" si="4"/>
        <v>0</v>
      </c>
    </row>
    <row r="73" spans="1:25" s="93" customFormat="1" ht="12.75" customHeight="1" hidden="1">
      <c r="A73" s="23" t="s">
        <v>64</v>
      </c>
      <c r="B73" s="23"/>
      <c r="C73" s="24">
        <f t="shared" si="1"/>
        <v>0</v>
      </c>
      <c r="D73" s="24"/>
      <c r="E73" s="24">
        <v>0</v>
      </c>
      <c r="F73" s="24"/>
      <c r="G73" s="24">
        <v>0</v>
      </c>
      <c r="H73" s="24"/>
      <c r="I73" s="24">
        <v>0</v>
      </c>
      <c r="J73" s="24"/>
      <c r="K73" s="24">
        <f t="shared" si="2"/>
        <v>0</v>
      </c>
      <c r="L73" s="24"/>
      <c r="M73" s="24">
        <v>0</v>
      </c>
      <c r="N73" s="24"/>
      <c r="O73" s="24">
        <v>0</v>
      </c>
      <c r="P73" s="24"/>
      <c r="Q73" s="24">
        <v>0</v>
      </c>
      <c r="R73" s="24"/>
      <c r="S73" s="24">
        <f t="shared" si="3"/>
        <v>0</v>
      </c>
      <c r="T73" s="24"/>
      <c r="U73" s="24">
        <v>0</v>
      </c>
      <c r="V73" s="24"/>
      <c r="W73" s="24">
        <v>0</v>
      </c>
      <c r="X73" s="24"/>
      <c r="Y73" s="24">
        <f t="shared" si="4"/>
        <v>0</v>
      </c>
    </row>
    <row r="74" spans="1:25" s="93" customFormat="1" ht="12.75" customHeight="1">
      <c r="A74" s="23" t="s">
        <v>187</v>
      </c>
      <c r="B74" s="23"/>
      <c r="C74" s="24">
        <f t="shared" si="1"/>
        <v>33815641</v>
      </c>
      <c r="D74" s="24"/>
      <c r="E74" s="24">
        <f>731102+39522334</f>
        <v>40253436</v>
      </c>
      <c r="F74" s="24"/>
      <c r="G74" s="24">
        <v>124862</v>
      </c>
      <c r="H74" s="24"/>
      <c r="I74" s="24">
        <v>74193939</v>
      </c>
      <c r="J74" s="24"/>
      <c r="K74" s="24">
        <f t="shared" si="2"/>
        <v>9152965</v>
      </c>
      <c r="L74" s="24"/>
      <c r="M74" s="24">
        <v>4016407</v>
      </c>
      <c r="N74" s="24"/>
      <c r="O74" s="24">
        <v>13169372</v>
      </c>
      <c r="P74" s="24"/>
      <c r="Q74" s="24">
        <v>39583223</v>
      </c>
      <c r="R74" s="24"/>
      <c r="S74" s="24">
        <f t="shared" si="3"/>
        <v>18555716</v>
      </c>
      <c r="T74" s="24"/>
      <c r="U74" s="24">
        <v>2885628</v>
      </c>
      <c r="V74" s="24"/>
      <c r="W74" s="24">
        <v>61024567</v>
      </c>
      <c r="X74" s="24"/>
      <c r="Y74" s="24">
        <f t="shared" si="4"/>
        <v>0</v>
      </c>
    </row>
    <row r="75" spans="1:25" s="93" customFormat="1" ht="12.75" customHeight="1">
      <c r="A75" s="23" t="s">
        <v>66</v>
      </c>
      <c r="B75" s="23"/>
      <c r="C75" s="24">
        <f t="shared" si="1"/>
        <v>29365471</v>
      </c>
      <c r="D75" s="24"/>
      <c r="E75" s="24">
        <f>1532182+37361275</f>
        <v>38893457</v>
      </c>
      <c r="F75" s="24"/>
      <c r="G75" s="24">
        <v>0</v>
      </c>
      <c r="H75" s="24"/>
      <c r="I75" s="24">
        <v>68258928</v>
      </c>
      <c r="J75" s="24"/>
      <c r="K75" s="24">
        <f t="shared" si="2"/>
        <v>5292510</v>
      </c>
      <c r="L75" s="24"/>
      <c r="M75" s="24">
        <v>6745767</v>
      </c>
      <c r="N75" s="24"/>
      <c r="O75" s="24">
        <v>12038277</v>
      </c>
      <c r="P75" s="24"/>
      <c r="Q75" s="24">
        <v>31865223</v>
      </c>
      <c r="R75" s="24"/>
      <c r="S75" s="24">
        <f t="shared" si="3"/>
        <v>16659737</v>
      </c>
      <c r="T75" s="24"/>
      <c r="U75" s="24">
        <v>7695691</v>
      </c>
      <c r="V75" s="24"/>
      <c r="W75" s="24">
        <v>56220651</v>
      </c>
      <c r="X75" s="24"/>
      <c r="Y75" s="24">
        <f t="shared" si="4"/>
        <v>0</v>
      </c>
    </row>
    <row r="76" spans="1:25" s="93" customFormat="1" ht="12.75" customHeight="1">
      <c r="A76" s="23" t="s">
        <v>67</v>
      </c>
      <c r="B76" s="23"/>
      <c r="C76" s="24">
        <f t="shared" si="1"/>
        <v>121274401</v>
      </c>
      <c r="D76" s="24"/>
      <c r="E76" s="24">
        <f>6789931+82813392</f>
        <v>89603323</v>
      </c>
      <c r="F76" s="24"/>
      <c r="G76" s="24">
        <v>0</v>
      </c>
      <c r="H76" s="24"/>
      <c r="I76" s="24">
        <v>210877724</v>
      </c>
      <c r="J76" s="24"/>
      <c r="K76" s="24">
        <f t="shared" si="2"/>
        <v>36402266</v>
      </c>
      <c r="L76" s="24"/>
      <c r="M76" s="24">
        <f>19946678</f>
        <v>19946678</v>
      </c>
      <c r="N76" s="24"/>
      <c r="O76" s="24">
        <v>56348944</v>
      </c>
      <c r="P76" s="24"/>
      <c r="Q76" s="24">
        <f>4365886+19946678</f>
        <v>24312564</v>
      </c>
      <c r="R76" s="24"/>
      <c r="S76" s="24">
        <f t="shared" si="3"/>
        <v>108316126</v>
      </c>
      <c r="T76" s="24"/>
      <c r="U76" s="24">
        <v>21900090</v>
      </c>
      <c r="V76" s="24"/>
      <c r="W76" s="24">
        <v>154528780</v>
      </c>
      <c r="X76" s="24"/>
      <c r="Y76" s="24">
        <f t="shared" si="4"/>
        <v>0</v>
      </c>
    </row>
    <row r="77" spans="1:25" s="93" customFormat="1" ht="12.75" customHeight="1">
      <c r="A77" s="23" t="s">
        <v>68</v>
      </c>
      <c r="B77" s="23"/>
      <c r="C77" s="24">
        <f>+I77-E77-G77</f>
        <v>21047925</v>
      </c>
      <c r="D77" s="24"/>
      <c r="E77" s="24">
        <f>2252014+11658988+8718518+21162630-17574754</f>
        <v>26217396</v>
      </c>
      <c r="F77" s="24"/>
      <c r="G77" s="24">
        <v>1550</v>
      </c>
      <c r="H77" s="24"/>
      <c r="I77" s="24">
        <v>47266871</v>
      </c>
      <c r="J77" s="24"/>
      <c r="K77" s="24">
        <f>+O77-M77</f>
        <v>5494077</v>
      </c>
      <c r="L77" s="24"/>
      <c r="M77" s="24">
        <v>1372652</v>
      </c>
      <c r="N77" s="24"/>
      <c r="O77" s="24">
        <v>6866729</v>
      </c>
      <c r="P77" s="24"/>
      <c r="Q77" s="24">
        <v>25207266</v>
      </c>
      <c r="R77" s="24"/>
      <c r="S77" s="24">
        <f>W77-U77-Q77</f>
        <v>11265051</v>
      </c>
      <c r="T77" s="24"/>
      <c r="U77" s="24">
        <v>3927825</v>
      </c>
      <c r="V77" s="24"/>
      <c r="W77" s="24">
        <v>40400142</v>
      </c>
      <c r="X77" s="24"/>
      <c r="Y77" s="24">
        <f t="shared" si="4"/>
        <v>0</v>
      </c>
    </row>
    <row r="78" spans="1:25" s="93" customFormat="1" ht="12.75" customHeight="1" hidden="1">
      <c r="A78" s="23" t="s">
        <v>176</v>
      </c>
      <c r="B78" s="23"/>
      <c r="C78" s="24">
        <f>+I78-E78-G78</f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f>+O78-M78</f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f>W78-U78-Q78</f>
        <v>0</v>
      </c>
      <c r="T78" s="24"/>
      <c r="U78" s="24">
        <v>0</v>
      </c>
      <c r="V78" s="24"/>
      <c r="W78" s="24">
        <v>0</v>
      </c>
      <c r="X78" s="24"/>
      <c r="Y78" s="24">
        <f t="shared" si="4"/>
        <v>0</v>
      </c>
    </row>
    <row r="79" spans="5:23" s="93" customFormat="1" ht="12.75" customHeight="1">
      <c r="E79" s="24"/>
      <c r="G79" s="24"/>
      <c r="I79" s="24"/>
      <c r="M79" s="24"/>
      <c r="O79" s="24"/>
      <c r="Q79" s="24"/>
      <c r="U79" s="24"/>
      <c r="W79" s="24"/>
    </row>
    <row r="80" spans="5:23" s="93" customFormat="1" ht="12.75" customHeight="1">
      <c r="E80" s="24"/>
      <c r="G80" s="24"/>
      <c r="I80" s="24"/>
      <c r="M80" s="24"/>
      <c r="O80" s="24"/>
      <c r="Q80" s="24"/>
      <c r="U80" s="24"/>
      <c r="W80" s="30" t="s">
        <v>249</v>
      </c>
    </row>
    <row r="81" spans="1:25" s="93" customFormat="1" ht="12.75" customHeight="1">
      <c r="A81" s="23" t="s">
        <v>178</v>
      </c>
      <c r="B81" s="23"/>
      <c r="C81" s="44">
        <f>+I81-E81-G81</f>
        <v>98190264</v>
      </c>
      <c r="D81" s="44"/>
      <c r="E81" s="44">
        <f>2788652+105717023</f>
        <v>108505675</v>
      </c>
      <c r="F81" s="44"/>
      <c r="G81" s="44">
        <v>548370</v>
      </c>
      <c r="H81" s="44"/>
      <c r="I81" s="24">
        <v>207244309</v>
      </c>
      <c r="J81" s="44"/>
      <c r="K81" s="44">
        <f>+O81-M81</f>
        <v>31633900</v>
      </c>
      <c r="L81" s="44"/>
      <c r="M81" s="44">
        <v>39795448</v>
      </c>
      <c r="N81" s="44"/>
      <c r="O81" s="44">
        <v>71429348</v>
      </c>
      <c r="P81" s="44"/>
      <c r="Q81" s="44">
        <v>72402548</v>
      </c>
      <c r="R81" s="44"/>
      <c r="S81" s="44">
        <f>W81-U81-Q81</f>
        <v>59078783</v>
      </c>
      <c r="T81" s="44"/>
      <c r="U81" s="44">
        <v>4333630</v>
      </c>
      <c r="V81" s="44"/>
      <c r="W81" s="44">
        <v>135814961</v>
      </c>
      <c r="X81" s="24"/>
      <c r="Y81" s="24">
        <f>I81-O81-W81</f>
        <v>0</v>
      </c>
    </row>
    <row r="82" spans="1:25" s="93" customFormat="1" ht="12.75" customHeight="1">
      <c r="A82" s="23" t="s">
        <v>69</v>
      </c>
      <c r="B82" s="23"/>
      <c r="C82" s="24">
        <f aca="true" t="shared" si="5" ref="C82:C98">+I82-E82-G82</f>
        <v>33309534</v>
      </c>
      <c r="D82" s="24"/>
      <c r="E82" s="24">
        <f>3593517+34940297</f>
        <v>38533814</v>
      </c>
      <c r="F82" s="24"/>
      <c r="G82" s="24">
        <v>116831</v>
      </c>
      <c r="H82" s="24"/>
      <c r="I82" s="24">
        <v>71960179</v>
      </c>
      <c r="J82" s="24"/>
      <c r="K82" s="24">
        <f aca="true" t="shared" si="6" ref="K82:K98">+O82-M82</f>
        <v>15789899</v>
      </c>
      <c r="L82" s="24"/>
      <c r="M82" s="24">
        <v>10920547</v>
      </c>
      <c r="N82" s="24"/>
      <c r="O82" s="24">
        <v>26710446</v>
      </c>
      <c r="P82" s="24"/>
      <c r="Q82" s="24">
        <v>28514024</v>
      </c>
      <c r="R82" s="24"/>
      <c r="S82" s="24">
        <f aca="true" t="shared" si="7" ref="S82:S98">W82-U82-Q82</f>
        <v>10894400</v>
      </c>
      <c r="T82" s="24"/>
      <c r="U82" s="24">
        <v>5841309</v>
      </c>
      <c r="V82" s="24"/>
      <c r="W82" s="24">
        <v>45249733</v>
      </c>
      <c r="X82" s="24"/>
      <c r="Y82" s="24">
        <f>I82-O82-W82</f>
        <v>0</v>
      </c>
    </row>
    <row r="83" spans="1:25" s="93" customFormat="1" ht="12.75" customHeight="1">
      <c r="A83" s="23" t="s">
        <v>98</v>
      </c>
      <c r="B83" s="23"/>
      <c r="C83" s="24">
        <f t="shared" si="5"/>
        <v>44471408</v>
      </c>
      <c r="D83" s="24"/>
      <c r="E83" s="24">
        <f>42625972</f>
        <v>42625972</v>
      </c>
      <c r="F83" s="24"/>
      <c r="G83" s="24">
        <v>0</v>
      </c>
      <c r="H83" s="24"/>
      <c r="I83" s="24">
        <v>87097380</v>
      </c>
      <c r="J83" s="24"/>
      <c r="K83" s="24">
        <f t="shared" si="6"/>
        <v>10605837</v>
      </c>
      <c r="L83" s="24"/>
      <c r="M83" s="24">
        <v>4660590</v>
      </c>
      <c r="N83" s="24"/>
      <c r="O83" s="24">
        <v>15266427</v>
      </c>
      <c r="P83" s="24"/>
      <c r="Q83" s="24">
        <v>38619795</v>
      </c>
      <c r="R83" s="24"/>
      <c r="S83" s="24">
        <f t="shared" si="7"/>
        <v>23225193</v>
      </c>
      <c r="T83" s="24"/>
      <c r="U83" s="24">
        <v>9985965</v>
      </c>
      <c r="V83" s="24"/>
      <c r="W83" s="24">
        <v>71830953</v>
      </c>
      <c r="X83" s="24"/>
      <c r="Y83" s="24">
        <f t="shared" si="4"/>
        <v>0</v>
      </c>
    </row>
    <row r="84" spans="1:25" s="93" customFormat="1" ht="12.75" customHeight="1">
      <c r="A84" s="23" t="s">
        <v>70</v>
      </c>
      <c r="B84" s="23"/>
      <c r="C84" s="24">
        <f t="shared" si="5"/>
        <v>31839009</v>
      </c>
      <c r="D84" s="24"/>
      <c r="E84" s="24">
        <f>1866742+80634139</f>
        <v>82500881</v>
      </c>
      <c r="F84" s="24"/>
      <c r="G84" s="24">
        <v>190921</v>
      </c>
      <c r="H84" s="24"/>
      <c r="I84" s="24">
        <v>114530811</v>
      </c>
      <c r="J84" s="24"/>
      <c r="K84" s="24">
        <f t="shared" si="6"/>
        <v>11124181</v>
      </c>
      <c r="L84" s="24"/>
      <c r="M84" s="24">
        <v>12143957</v>
      </c>
      <c r="N84" s="24"/>
      <c r="O84" s="24">
        <v>23268138</v>
      </c>
      <c r="P84" s="24"/>
      <c r="Q84" s="24">
        <v>72071585</v>
      </c>
      <c r="R84" s="24"/>
      <c r="S84" s="24">
        <f t="shared" si="7"/>
        <v>20210651</v>
      </c>
      <c r="T84" s="24"/>
      <c r="U84" s="24">
        <v>-1019563</v>
      </c>
      <c r="V84" s="24"/>
      <c r="W84" s="24">
        <v>91262673</v>
      </c>
      <c r="X84" s="24"/>
      <c r="Y84" s="24">
        <f t="shared" si="4"/>
        <v>0</v>
      </c>
    </row>
    <row r="85" spans="1:25" s="93" customFormat="1" ht="12.75" customHeight="1">
      <c r="A85" s="23" t="s">
        <v>71</v>
      </c>
      <c r="B85" s="23"/>
      <c r="C85" s="24">
        <f t="shared" si="5"/>
        <v>40316725</v>
      </c>
      <c r="D85" s="24"/>
      <c r="E85" s="24">
        <v>63914209</v>
      </c>
      <c r="F85" s="24"/>
      <c r="G85" s="24">
        <v>178274</v>
      </c>
      <c r="H85" s="24"/>
      <c r="I85" s="24">
        <v>104409208</v>
      </c>
      <c r="J85" s="24"/>
      <c r="K85" s="24">
        <f t="shared" si="6"/>
        <v>7148594</v>
      </c>
      <c r="L85" s="24"/>
      <c r="M85" s="24">
        <v>5478247</v>
      </c>
      <c r="N85" s="24"/>
      <c r="O85" s="24">
        <v>12626841</v>
      </c>
      <c r="P85" s="24"/>
      <c r="Q85" s="24">
        <v>59352403</v>
      </c>
      <c r="R85" s="24"/>
      <c r="S85" s="24">
        <f t="shared" si="7"/>
        <v>23969468</v>
      </c>
      <c r="T85" s="24"/>
      <c r="U85" s="24">
        <v>8460496</v>
      </c>
      <c r="V85" s="24"/>
      <c r="W85" s="24">
        <v>91782367</v>
      </c>
      <c r="X85" s="24"/>
      <c r="Y85" s="24">
        <f t="shared" si="4"/>
        <v>0</v>
      </c>
    </row>
    <row r="86" spans="1:25" s="93" customFormat="1" ht="12.75" customHeight="1">
      <c r="A86" s="23" t="s">
        <v>72</v>
      </c>
      <c r="B86" s="23"/>
      <c r="C86" s="24">
        <f t="shared" si="5"/>
        <v>31809856</v>
      </c>
      <c r="D86" s="24"/>
      <c r="E86" s="146">
        <f>84674978+2363513</f>
        <v>87038491</v>
      </c>
      <c r="F86" s="24"/>
      <c r="G86" s="24">
        <v>0</v>
      </c>
      <c r="H86" s="24"/>
      <c r="I86" s="24">
        <v>118848347</v>
      </c>
      <c r="J86" s="24"/>
      <c r="K86" s="24">
        <f t="shared" si="6"/>
        <v>8204912</v>
      </c>
      <c r="L86" s="24"/>
      <c r="M86" s="24">
        <v>1943761</v>
      </c>
      <c r="N86" s="24"/>
      <c r="O86" s="24">
        <v>10148673</v>
      </c>
      <c r="P86" s="24"/>
      <c r="Q86" s="24">
        <v>86619418</v>
      </c>
      <c r="R86" s="24"/>
      <c r="S86" s="24">
        <f t="shared" si="7"/>
        <v>20558155</v>
      </c>
      <c r="T86" s="24"/>
      <c r="U86" s="24">
        <v>1522101</v>
      </c>
      <c r="V86" s="24"/>
      <c r="W86" s="24">
        <v>108699674</v>
      </c>
      <c r="X86" s="24"/>
      <c r="Y86" s="24">
        <f t="shared" si="4"/>
        <v>0</v>
      </c>
    </row>
    <row r="87" spans="1:25" s="93" customFormat="1" ht="12.75" customHeight="1">
      <c r="A87" s="23" t="s">
        <v>73</v>
      </c>
      <c r="B87" s="23"/>
      <c r="C87" s="24">
        <f t="shared" si="5"/>
        <v>236838090</v>
      </c>
      <c r="D87" s="24"/>
      <c r="E87" s="24">
        <f>37427652+129133594</f>
        <v>166561246</v>
      </c>
      <c r="F87" s="24"/>
      <c r="G87" s="24">
        <v>0</v>
      </c>
      <c r="H87" s="24"/>
      <c r="I87" s="24">
        <v>403399336</v>
      </c>
      <c r="J87" s="24"/>
      <c r="K87" s="24">
        <f>+O87-M87</f>
        <v>77330316</v>
      </c>
      <c r="L87" s="24"/>
      <c r="M87" s="24">
        <v>16337612</v>
      </c>
      <c r="N87" s="24"/>
      <c r="O87" s="24">
        <v>93667928</v>
      </c>
      <c r="P87" s="24"/>
      <c r="Q87" s="24">
        <v>160060611</v>
      </c>
      <c r="R87" s="24"/>
      <c r="S87" s="24">
        <f t="shared" si="7"/>
        <v>121986782</v>
      </c>
      <c r="T87" s="24"/>
      <c r="U87" s="24">
        <v>27684015</v>
      </c>
      <c r="V87" s="24"/>
      <c r="W87" s="24">
        <v>309731408</v>
      </c>
      <c r="X87" s="24"/>
      <c r="Y87" s="24">
        <f t="shared" si="4"/>
        <v>0</v>
      </c>
    </row>
    <row r="88" spans="1:25" s="93" customFormat="1" ht="12.75" customHeight="1" hidden="1">
      <c r="A88" s="23" t="s">
        <v>74</v>
      </c>
      <c r="B88" s="23"/>
      <c r="C88" s="24">
        <f t="shared" si="5"/>
        <v>0</v>
      </c>
      <c r="D88" s="24"/>
      <c r="E88" s="24">
        <v>0</v>
      </c>
      <c r="F88" s="24"/>
      <c r="G88" s="24">
        <v>0</v>
      </c>
      <c r="H88" s="24"/>
      <c r="I88" s="24">
        <v>0</v>
      </c>
      <c r="J88" s="24"/>
      <c r="K88" s="24">
        <f t="shared" si="6"/>
        <v>0</v>
      </c>
      <c r="L88" s="24"/>
      <c r="M88" s="24">
        <v>0</v>
      </c>
      <c r="N88" s="24"/>
      <c r="O88" s="24">
        <v>0</v>
      </c>
      <c r="P88" s="24"/>
      <c r="Q88" s="24">
        <v>0</v>
      </c>
      <c r="R88" s="24"/>
      <c r="S88" s="24">
        <f t="shared" si="7"/>
        <v>0</v>
      </c>
      <c r="T88" s="24"/>
      <c r="U88" s="24">
        <v>0</v>
      </c>
      <c r="V88" s="24"/>
      <c r="W88" s="24">
        <v>0</v>
      </c>
      <c r="X88" s="24"/>
      <c r="Y88" s="24">
        <f t="shared" si="4"/>
        <v>0</v>
      </c>
    </row>
    <row r="89" spans="1:25" s="93" customFormat="1" ht="12.75" customHeight="1">
      <c r="A89" s="23" t="s">
        <v>75</v>
      </c>
      <c r="B89" s="23"/>
      <c r="C89" s="24">
        <f t="shared" si="5"/>
        <v>147881351</v>
      </c>
      <c r="D89" s="24"/>
      <c r="E89" s="24">
        <f>9304311+104052320</f>
        <v>113356631</v>
      </c>
      <c r="F89" s="24"/>
      <c r="G89" s="24">
        <v>319218</v>
      </c>
      <c r="H89" s="24"/>
      <c r="I89" s="24">
        <v>261557200</v>
      </c>
      <c r="J89" s="24"/>
      <c r="K89" s="24">
        <f t="shared" si="6"/>
        <v>43791345</v>
      </c>
      <c r="L89" s="24"/>
      <c r="M89" s="24">
        <v>29225935</v>
      </c>
      <c r="N89" s="24"/>
      <c r="O89" s="24">
        <v>73017280</v>
      </c>
      <c r="P89" s="24"/>
      <c r="Q89" s="24">
        <v>95961357</v>
      </c>
      <c r="R89" s="24"/>
      <c r="S89" s="24">
        <f t="shared" si="7"/>
        <v>72927254</v>
      </c>
      <c r="T89" s="24"/>
      <c r="U89" s="24">
        <v>19651309</v>
      </c>
      <c r="V89" s="24"/>
      <c r="W89" s="24">
        <v>188539920</v>
      </c>
      <c r="X89" s="24"/>
      <c r="Y89" s="24">
        <f t="shared" si="4"/>
        <v>0</v>
      </c>
    </row>
    <row r="90" spans="1:25" s="93" customFormat="1" ht="12.75" customHeight="1">
      <c r="A90" s="23" t="s">
        <v>76</v>
      </c>
      <c r="B90" s="23"/>
      <c r="C90" s="24">
        <f t="shared" si="5"/>
        <v>60619866</v>
      </c>
      <c r="D90" s="24"/>
      <c r="E90" s="24">
        <f>3645400+77964991</f>
        <v>81610391</v>
      </c>
      <c r="F90" s="24"/>
      <c r="G90" s="24">
        <v>0</v>
      </c>
      <c r="H90" s="24"/>
      <c r="I90" s="24">
        <v>142230257</v>
      </c>
      <c r="J90" s="24"/>
      <c r="K90" s="24">
        <f t="shared" si="6"/>
        <v>11978552</v>
      </c>
      <c r="L90" s="24"/>
      <c r="M90" s="24">
        <v>3149831</v>
      </c>
      <c r="N90" s="24"/>
      <c r="O90" s="24">
        <v>15128383</v>
      </c>
      <c r="P90" s="24"/>
      <c r="Q90" s="24">
        <v>79311944</v>
      </c>
      <c r="R90" s="24"/>
      <c r="S90" s="24">
        <f t="shared" si="7"/>
        <v>32571088</v>
      </c>
      <c r="T90" s="24"/>
      <c r="U90" s="24">
        <v>15218842</v>
      </c>
      <c r="V90" s="24"/>
      <c r="W90" s="24">
        <v>127101874</v>
      </c>
      <c r="X90" s="24"/>
      <c r="Y90" s="24">
        <f t="shared" si="4"/>
        <v>0</v>
      </c>
    </row>
    <row r="91" spans="1:25" s="93" customFormat="1" ht="12.75" customHeight="1">
      <c r="A91" s="23" t="s">
        <v>77</v>
      </c>
      <c r="B91" s="23"/>
      <c r="C91" s="24">
        <f t="shared" si="5"/>
        <v>50508147</v>
      </c>
      <c r="D91" s="24"/>
      <c r="E91" s="24">
        <v>74160271</v>
      </c>
      <c r="F91" s="24"/>
      <c r="G91" s="24">
        <v>0</v>
      </c>
      <c r="H91" s="24"/>
      <c r="I91" s="24">
        <v>124668418</v>
      </c>
      <c r="J91" s="24"/>
      <c r="K91" s="24">
        <f t="shared" si="6"/>
        <v>17043337</v>
      </c>
      <c r="L91" s="24"/>
      <c r="M91" s="24">
        <v>8751341</v>
      </c>
      <c r="N91" s="24"/>
      <c r="O91" s="24">
        <v>25794678</v>
      </c>
      <c r="P91" s="24"/>
      <c r="Q91" s="24">
        <v>65696098</v>
      </c>
      <c r="R91" s="24"/>
      <c r="S91" s="24">
        <f t="shared" si="7"/>
        <v>26069859</v>
      </c>
      <c r="T91" s="24"/>
      <c r="U91" s="24">
        <v>7107783</v>
      </c>
      <c r="V91" s="24"/>
      <c r="W91" s="24">
        <v>98873740</v>
      </c>
      <c r="X91" s="24"/>
      <c r="Y91" s="24">
        <f t="shared" si="4"/>
        <v>0</v>
      </c>
    </row>
    <row r="92" spans="1:25" s="93" customFormat="1" ht="12.75" customHeight="1">
      <c r="A92" s="23" t="s">
        <v>78</v>
      </c>
      <c r="B92" s="23"/>
      <c r="C92" s="24">
        <f t="shared" si="5"/>
        <v>18029820</v>
      </c>
      <c r="D92" s="24"/>
      <c r="E92" s="24">
        <f>23781032+380109</f>
        <v>24161141</v>
      </c>
      <c r="F92" s="24"/>
      <c r="G92" s="24">
        <v>0</v>
      </c>
      <c r="H92" s="24"/>
      <c r="I92" s="24">
        <v>42190961</v>
      </c>
      <c r="J92" s="24"/>
      <c r="K92" s="24">
        <f t="shared" si="6"/>
        <v>4655080</v>
      </c>
      <c r="L92" s="24"/>
      <c r="M92" s="24">
        <v>6268702</v>
      </c>
      <c r="N92" s="24"/>
      <c r="O92" s="24">
        <v>10923782</v>
      </c>
      <c r="P92" s="24"/>
      <c r="Q92" s="24">
        <v>22536254</v>
      </c>
      <c r="R92" s="24"/>
      <c r="S92" s="24">
        <f t="shared" si="7"/>
        <v>11367981</v>
      </c>
      <c r="T92" s="24"/>
      <c r="U92" s="24">
        <v>-2637056</v>
      </c>
      <c r="V92" s="24"/>
      <c r="W92" s="24">
        <v>31267179</v>
      </c>
      <c r="X92" s="24"/>
      <c r="Y92" s="24">
        <f t="shared" si="4"/>
        <v>0</v>
      </c>
    </row>
    <row r="93" spans="1:25" s="93" customFormat="1" ht="12.75" customHeight="1" hidden="1">
      <c r="A93" s="23" t="s">
        <v>79</v>
      </c>
      <c r="B93" s="23"/>
      <c r="C93" s="24">
        <f t="shared" si="5"/>
        <v>0</v>
      </c>
      <c r="D93" s="24"/>
      <c r="E93" s="24">
        <v>0</v>
      </c>
      <c r="F93" s="24"/>
      <c r="G93" s="24">
        <v>0</v>
      </c>
      <c r="H93" s="24"/>
      <c r="I93" s="24">
        <v>0</v>
      </c>
      <c r="J93" s="24"/>
      <c r="K93" s="24">
        <f t="shared" si="6"/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f t="shared" si="7"/>
        <v>0</v>
      </c>
      <c r="T93" s="24"/>
      <c r="U93" s="24">
        <v>0</v>
      </c>
      <c r="V93" s="24"/>
      <c r="W93" s="24">
        <v>0</v>
      </c>
      <c r="X93" s="24"/>
      <c r="Y93" s="24">
        <f t="shared" si="4"/>
        <v>0</v>
      </c>
    </row>
    <row r="94" spans="1:25" s="93" customFormat="1" ht="12.75" customHeight="1">
      <c r="A94" s="23" t="s">
        <v>80</v>
      </c>
      <c r="B94" s="23"/>
      <c r="C94" s="24">
        <f t="shared" si="5"/>
        <v>187339552</v>
      </c>
      <c r="D94" s="24"/>
      <c r="E94" s="24">
        <f>13796988+87365557</f>
        <v>101162545</v>
      </c>
      <c r="F94" s="24"/>
      <c r="G94" s="24">
        <v>0</v>
      </c>
      <c r="H94" s="24"/>
      <c r="I94" s="24">
        <v>288502097</v>
      </c>
      <c r="J94" s="24"/>
      <c r="K94" s="24">
        <f t="shared" si="6"/>
        <v>45451447</v>
      </c>
      <c r="L94" s="24"/>
      <c r="M94" s="24">
        <v>29301133</v>
      </c>
      <c r="N94" s="24"/>
      <c r="O94" s="24">
        <v>74752580</v>
      </c>
      <c r="P94" s="24"/>
      <c r="Q94" s="24">
        <v>92647187</v>
      </c>
      <c r="R94" s="24"/>
      <c r="S94" s="24">
        <f t="shared" si="7"/>
        <v>115430883</v>
      </c>
      <c r="T94" s="24"/>
      <c r="U94" s="24">
        <v>5671447</v>
      </c>
      <c r="V94" s="24"/>
      <c r="W94" s="24">
        <v>213749517</v>
      </c>
      <c r="X94" s="24"/>
      <c r="Y94" s="24">
        <f aca="true" t="shared" si="8" ref="Y94:Y99">I94-O94-W94</f>
        <v>0</v>
      </c>
    </row>
    <row r="95" spans="1:25" s="93" customFormat="1" ht="12.75" customHeight="1">
      <c r="A95" s="23" t="s">
        <v>81</v>
      </c>
      <c r="B95" s="23"/>
      <c r="C95" s="24">
        <f t="shared" si="5"/>
        <v>46401330</v>
      </c>
      <c r="D95" s="24"/>
      <c r="E95" s="24">
        <f>125863611+16158429</f>
        <v>142022040</v>
      </c>
      <c r="F95" s="24"/>
      <c r="G95" s="24">
        <v>77441</v>
      </c>
      <c r="H95" s="24"/>
      <c r="I95" s="24">
        <v>188500811</v>
      </c>
      <c r="J95" s="24"/>
      <c r="K95" s="24">
        <f t="shared" si="6"/>
        <v>12211552</v>
      </c>
      <c r="L95" s="24"/>
      <c r="M95" s="24">
        <v>4963436</v>
      </c>
      <c r="N95" s="24"/>
      <c r="O95" s="24">
        <v>17174988</v>
      </c>
      <c r="P95" s="24"/>
      <c r="Q95" s="24">
        <v>137326947</v>
      </c>
      <c r="R95" s="24"/>
      <c r="S95" s="24">
        <f t="shared" si="7"/>
        <v>23340957</v>
      </c>
      <c r="T95" s="24"/>
      <c r="U95" s="24">
        <v>10657919</v>
      </c>
      <c r="V95" s="24"/>
      <c r="W95" s="24">
        <v>171325823</v>
      </c>
      <c r="X95" s="24"/>
      <c r="Y95" s="24">
        <f t="shared" si="8"/>
        <v>0</v>
      </c>
    </row>
    <row r="96" spans="1:25" s="93" customFormat="1" ht="12.75" customHeight="1">
      <c r="A96" s="23" t="s">
        <v>82</v>
      </c>
      <c r="B96" s="23"/>
      <c r="C96" s="24">
        <f t="shared" si="5"/>
        <v>63120746</v>
      </c>
      <c r="D96" s="24"/>
      <c r="E96" s="24">
        <f>7476528+79940296</f>
        <v>87416824</v>
      </c>
      <c r="F96" s="24"/>
      <c r="G96" s="24">
        <v>61782</v>
      </c>
      <c r="H96" s="24"/>
      <c r="I96" s="24">
        <v>150599352</v>
      </c>
      <c r="J96" s="24"/>
      <c r="K96" s="24">
        <f t="shared" si="6"/>
        <v>20590711</v>
      </c>
      <c r="L96" s="24"/>
      <c r="M96" s="24">
        <v>10200539</v>
      </c>
      <c r="N96" s="24"/>
      <c r="O96" s="24">
        <v>30791250</v>
      </c>
      <c r="P96" s="24"/>
      <c r="Q96" s="24">
        <v>78929883</v>
      </c>
      <c r="R96" s="24"/>
      <c r="S96" s="24">
        <f t="shared" si="7"/>
        <v>33596597</v>
      </c>
      <c r="T96" s="24"/>
      <c r="U96" s="24">
        <v>7281622</v>
      </c>
      <c r="V96" s="24"/>
      <c r="W96" s="24">
        <v>119808102</v>
      </c>
      <c r="X96" s="24"/>
      <c r="Y96" s="24">
        <f t="shared" si="8"/>
        <v>0</v>
      </c>
    </row>
    <row r="97" spans="1:25" s="93" customFormat="1" ht="12.75" customHeight="1" hidden="1">
      <c r="A97" s="23" t="s">
        <v>174</v>
      </c>
      <c r="B97" s="23"/>
      <c r="C97" s="24">
        <f t="shared" si="5"/>
        <v>0</v>
      </c>
      <c r="D97" s="24"/>
      <c r="E97" s="24">
        <v>0</v>
      </c>
      <c r="F97" s="24"/>
      <c r="G97" s="24">
        <v>0</v>
      </c>
      <c r="H97" s="24"/>
      <c r="I97" s="24">
        <v>0</v>
      </c>
      <c r="J97" s="24"/>
      <c r="K97" s="24">
        <f t="shared" si="6"/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f t="shared" si="7"/>
        <v>0</v>
      </c>
      <c r="T97" s="24"/>
      <c r="U97" s="24">
        <v>0</v>
      </c>
      <c r="V97" s="24"/>
      <c r="W97" s="24">
        <v>0</v>
      </c>
      <c r="X97" s="24"/>
      <c r="Y97" s="24">
        <f t="shared" si="8"/>
        <v>0</v>
      </c>
    </row>
    <row r="98" spans="1:25" s="93" customFormat="1" ht="12.75" customHeight="1">
      <c r="A98" s="23" t="s">
        <v>83</v>
      </c>
      <c r="B98" s="23"/>
      <c r="C98" s="24">
        <f t="shared" si="5"/>
        <v>132708776</v>
      </c>
      <c r="D98" s="24"/>
      <c r="E98" s="24">
        <f>3613602+74366903</f>
        <v>77980505</v>
      </c>
      <c r="F98" s="24"/>
      <c r="G98" s="24">
        <v>0</v>
      </c>
      <c r="H98" s="24"/>
      <c r="I98" s="24">
        <v>210689281</v>
      </c>
      <c r="J98" s="24"/>
      <c r="K98" s="24">
        <f t="shared" si="6"/>
        <v>33490667</v>
      </c>
      <c r="L98" s="24"/>
      <c r="M98" s="24">
        <v>7918663</v>
      </c>
      <c r="N98" s="24"/>
      <c r="O98" s="24">
        <v>41409330</v>
      </c>
      <c r="P98" s="24"/>
      <c r="Q98" s="24">
        <v>76501053</v>
      </c>
      <c r="R98" s="24"/>
      <c r="S98" s="24">
        <f t="shared" si="7"/>
        <v>60983979</v>
      </c>
      <c r="T98" s="24"/>
      <c r="U98" s="24">
        <v>31794919</v>
      </c>
      <c r="V98" s="24"/>
      <c r="W98" s="24">
        <v>169279951</v>
      </c>
      <c r="X98" s="24"/>
      <c r="Y98" s="24">
        <f t="shared" si="8"/>
        <v>0</v>
      </c>
    </row>
    <row r="99" spans="1:25" ht="12" hidden="1">
      <c r="A99" s="23" t="s">
        <v>175</v>
      </c>
      <c r="B99" s="23"/>
      <c r="C99" s="24">
        <f>+I99-E99-G99</f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f>+O99-M99</f>
        <v>0</v>
      </c>
      <c r="M99" s="24">
        <v>0</v>
      </c>
      <c r="O99" s="24">
        <v>0</v>
      </c>
      <c r="Q99" s="24">
        <v>0</v>
      </c>
      <c r="S99" s="24">
        <f>W99-U99-Q99</f>
        <v>0</v>
      </c>
      <c r="U99" s="24">
        <v>0</v>
      </c>
      <c r="W99" s="24">
        <v>0</v>
      </c>
      <c r="X99" s="24"/>
      <c r="Y99" s="24">
        <f t="shared" si="8"/>
        <v>0</v>
      </c>
    </row>
    <row r="100" spans="1:25" ht="12">
      <c r="A100" s="23"/>
      <c r="B100" s="23"/>
      <c r="C100" s="24"/>
      <c r="D100" s="5"/>
      <c r="E100" s="5"/>
      <c r="F100" s="5"/>
      <c r="G100" s="5"/>
      <c r="H100" s="5"/>
      <c r="I100" s="5"/>
      <c r="J100" s="5"/>
      <c r="X100" s="24"/>
      <c r="Y100" s="33"/>
    </row>
    <row r="101" spans="1:25" ht="12">
      <c r="A101" s="23"/>
      <c r="B101" s="23"/>
      <c r="C101" s="24"/>
      <c r="D101" s="5"/>
      <c r="E101" s="5"/>
      <c r="F101" s="5"/>
      <c r="G101" s="5"/>
      <c r="H101" s="5"/>
      <c r="I101" s="5"/>
      <c r="J101" s="5"/>
      <c r="X101" s="24"/>
      <c r="Y101" s="33"/>
    </row>
    <row r="102" spans="1:25" ht="12">
      <c r="A102" s="33"/>
      <c r="B102" s="33"/>
      <c r="C102" s="24"/>
      <c r="D102" s="5"/>
      <c r="E102" s="5"/>
      <c r="F102" s="5"/>
      <c r="G102" s="5"/>
      <c r="H102" s="5"/>
      <c r="I102" s="5"/>
      <c r="J102" s="5"/>
      <c r="X102" s="24"/>
      <c r="Y102" s="33"/>
    </row>
    <row r="103" spans="1:25" ht="12">
      <c r="A103" s="33"/>
      <c r="B103" s="33"/>
      <c r="C103" s="24"/>
      <c r="D103" s="5"/>
      <c r="E103" s="5"/>
      <c r="F103" s="5"/>
      <c r="G103" s="5"/>
      <c r="H103" s="5"/>
      <c r="I103" s="5"/>
      <c r="J103" s="5"/>
      <c r="X103" s="24"/>
      <c r="Y103" s="33"/>
    </row>
    <row r="104" spans="1:25" ht="12">
      <c r="A104" s="33"/>
      <c r="B104" s="33"/>
      <c r="C104" s="24"/>
      <c r="D104" s="5"/>
      <c r="E104" s="5"/>
      <c r="F104" s="5"/>
      <c r="G104" s="5"/>
      <c r="H104" s="5"/>
      <c r="I104" s="5"/>
      <c r="J104" s="5"/>
      <c r="X104" s="24"/>
      <c r="Y104" s="33"/>
    </row>
    <row r="105" spans="1:25" ht="12">
      <c r="A105" s="33"/>
      <c r="B105" s="33"/>
      <c r="C105" s="24"/>
      <c r="D105" s="5"/>
      <c r="E105" s="5"/>
      <c r="F105" s="5"/>
      <c r="G105" s="5"/>
      <c r="H105" s="5"/>
      <c r="I105" s="5"/>
      <c r="J105" s="5"/>
      <c r="X105" s="24"/>
      <c r="Y105" s="33"/>
    </row>
    <row r="106" spans="1:25" ht="12">
      <c r="A106" s="33"/>
      <c r="B106" s="33"/>
      <c r="C106" s="24"/>
      <c r="D106" s="5"/>
      <c r="E106" s="5"/>
      <c r="F106" s="5"/>
      <c r="G106" s="5"/>
      <c r="H106" s="5"/>
      <c r="I106" s="5"/>
      <c r="J106" s="5"/>
      <c r="X106" s="24"/>
      <c r="Y106" s="33"/>
    </row>
    <row r="107" spans="1:25" ht="12">
      <c r="A107" s="33"/>
      <c r="B107" s="33"/>
      <c r="C107" s="24"/>
      <c r="D107" s="5"/>
      <c r="E107" s="5"/>
      <c r="F107" s="5"/>
      <c r="G107" s="5"/>
      <c r="H107" s="5"/>
      <c r="I107" s="5"/>
      <c r="J107" s="5"/>
      <c r="X107" s="24"/>
      <c r="Y107" s="33"/>
    </row>
    <row r="108" spans="1:25" ht="12">
      <c r="A108" s="33"/>
      <c r="B108" s="33"/>
      <c r="C108" s="24"/>
      <c r="D108" s="5"/>
      <c r="E108" s="5"/>
      <c r="F108" s="5"/>
      <c r="G108" s="5"/>
      <c r="H108" s="5"/>
      <c r="I108" s="5"/>
      <c r="J108" s="5"/>
      <c r="X108" s="24"/>
      <c r="Y108" s="33"/>
    </row>
    <row r="109" spans="1:25" ht="12">
      <c r="A109" s="33"/>
      <c r="B109" s="33"/>
      <c r="C109" s="24"/>
      <c r="D109" s="5"/>
      <c r="E109" s="5"/>
      <c r="F109" s="5"/>
      <c r="G109" s="5"/>
      <c r="H109" s="5"/>
      <c r="I109" s="5"/>
      <c r="J109" s="5"/>
      <c r="X109" s="24"/>
      <c r="Y109" s="33"/>
    </row>
    <row r="110" spans="1:25" ht="12">
      <c r="A110" s="33"/>
      <c r="B110" s="33"/>
      <c r="C110" s="24"/>
      <c r="D110" s="5"/>
      <c r="E110" s="5"/>
      <c r="F110" s="5"/>
      <c r="G110" s="5"/>
      <c r="H110" s="5"/>
      <c r="I110" s="5"/>
      <c r="J110" s="5"/>
      <c r="X110" s="24"/>
      <c r="Y110" s="33"/>
    </row>
    <row r="111" spans="1:25" ht="12">
      <c r="A111" s="33"/>
      <c r="B111" s="33"/>
      <c r="C111" s="24"/>
      <c r="D111" s="5"/>
      <c r="E111" s="5"/>
      <c r="F111" s="5"/>
      <c r="G111" s="5"/>
      <c r="H111" s="5"/>
      <c r="I111" s="5"/>
      <c r="J111" s="5"/>
      <c r="X111" s="24"/>
      <c r="Y111" s="33"/>
    </row>
    <row r="112" spans="1:25" ht="12">
      <c r="A112" s="33"/>
      <c r="B112" s="33"/>
      <c r="C112" s="24"/>
      <c r="D112" s="5"/>
      <c r="E112" s="5"/>
      <c r="F112" s="5"/>
      <c r="G112" s="5"/>
      <c r="H112" s="5"/>
      <c r="I112" s="5"/>
      <c r="J112" s="5"/>
      <c r="X112" s="24"/>
      <c r="Y112" s="33"/>
    </row>
    <row r="113" spans="1:25" ht="12">
      <c r="A113" s="33"/>
      <c r="B113" s="33"/>
      <c r="C113" s="24"/>
      <c r="D113" s="5"/>
      <c r="E113" s="5"/>
      <c r="F113" s="5"/>
      <c r="G113" s="5"/>
      <c r="H113" s="5"/>
      <c r="I113" s="5"/>
      <c r="J113" s="5"/>
      <c r="X113" s="24"/>
      <c r="Y113" s="33"/>
    </row>
    <row r="114" spans="1:25" ht="12">
      <c r="A114" s="33"/>
      <c r="B114" s="33"/>
      <c r="C114" s="24"/>
      <c r="D114" s="5"/>
      <c r="E114" s="5"/>
      <c r="F114" s="5"/>
      <c r="G114" s="5"/>
      <c r="H114" s="5"/>
      <c r="I114" s="5"/>
      <c r="J114" s="5"/>
      <c r="X114" s="24"/>
      <c r="Y114" s="33"/>
    </row>
    <row r="115" spans="1:25" ht="12">
      <c r="A115" s="33"/>
      <c r="B115" s="33"/>
      <c r="C115" s="24"/>
      <c r="D115" s="5"/>
      <c r="E115" s="5"/>
      <c r="F115" s="5"/>
      <c r="G115" s="5"/>
      <c r="H115" s="5"/>
      <c r="I115" s="5"/>
      <c r="J115" s="5"/>
      <c r="X115" s="24"/>
      <c r="Y115" s="33"/>
    </row>
  </sheetData>
  <sheetProtection/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scaleWithDoc="0" alignWithMargins="0">
    <oddFooter>&amp;C&amp;"Times New Roman,Regular"&amp;11&amp;P</oddFooter>
  </headerFooter>
  <rowBreaks count="1" manualBreakCount="1">
    <brk id="80" max="22" man="1"/>
  </rowBreaks>
  <colBreaks count="1" manualBreakCount="1">
    <brk id="11" max="9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V115"/>
  <sheetViews>
    <sheetView zoomScale="130" zoomScaleNormal="130" zoomScalePageLayoutView="0" workbookViewId="0" topLeftCell="A1">
      <pane xSplit="1" ySplit="9" topLeftCell="B35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C75" sqref="C75"/>
    </sheetView>
  </sheetViews>
  <sheetFormatPr defaultColWidth="8.421875" defaultRowHeight="12.75"/>
  <cols>
    <col min="1" max="1" width="15.7109375" style="99" customWidth="1"/>
    <col min="2" max="2" width="1.7109375" style="99" customWidth="1"/>
    <col min="3" max="3" width="11.7109375" style="99" customWidth="1"/>
    <col min="4" max="4" width="1.7109375" style="99" customWidth="1"/>
    <col min="5" max="5" width="11.7109375" style="99" customWidth="1"/>
    <col min="6" max="6" width="1.7109375" style="99" customWidth="1"/>
    <col min="7" max="7" width="11.7109375" style="99" customWidth="1"/>
    <col min="8" max="8" width="1.7109375" style="99" customWidth="1"/>
    <col min="9" max="9" width="11.7109375" style="99" customWidth="1"/>
    <col min="10" max="10" width="1.7109375" style="99" customWidth="1"/>
    <col min="11" max="11" width="11.7109375" style="99" customWidth="1"/>
    <col min="12" max="12" width="1.7109375" style="99" customWidth="1"/>
    <col min="13" max="13" width="11.7109375" style="99" customWidth="1"/>
    <col min="14" max="14" width="1.7109375" style="99" customWidth="1"/>
    <col min="15" max="15" width="11.7109375" style="99" customWidth="1"/>
    <col min="16" max="16" width="1.7109375" style="99" customWidth="1"/>
    <col min="17" max="17" width="11.7109375" style="99" customWidth="1"/>
    <col min="18" max="18" width="1.7109375" style="99" customWidth="1"/>
    <col min="19" max="19" width="11.7109375" style="99" customWidth="1"/>
    <col min="20" max="20" width="1.7109375" style="99" customWidth="1"/>
    <col min="21" max="21" width="11.7109375" style="99" customWidth="1"/>
    <col min="22" max="22" width="11.7109375" style="99" hidden="1" customWidth="1"/>
    <col min="23" max="23" width="1.7109375" style="99" hidden="1" customWidth="1"/>
    <col min="24" max="24" width="11.7109375" style="99" customWidth="1"/>
    <col min="25" max="25" width="1.7109375" style="99" customWidth="1"/>
    <col min="26" max="26" width="11.7109375" style="99" customWidth="1"/>
    <col min="27" max="27" width="1.7109375" style="99" customWidth="1"/>
    <col min="28" max="28" width="11.7109375" style="85" customWidth="1"/>
    <col min="29" max="29" width="1.7109375" style="85" customWidth="1"/>
    <col min="30" max="30" width="11.7109375" style="85" customWidth="1"/>
    <col min="31" max="31" width="1.7109375" style="85" customWidth="1"/>
    <col min="32" max="32" width="11.7109375" style="85" customWidth="1"/>
    <col min="33" max="33" width="1.7109375" style="85" customWidth="1"/>
    <col min="34" max="34" width="11.7109375" style="85" customWidth="1"/>
    <col min="35" max="35" width="1.7109375" style="85" customWidth="1"/>
    <col min="36" max="36" width="11.7109375" style="85" customWidth="1"/>
    <col min="37" max="37" width="1.7109375" style="85" customWidth="1"/>
    <col min="38" max="38" width="11.7109375" style="85" customWidth="1"/>
    <col min="39" max="39" width="1.7109375" style="85" customWidth="1"/>
    <col min="40" max="40" width="11.7109375" style="79" customWidth="1"/>
    <col min="41" max="41" width="1.7109375" style="79" customWidth="1"/>
    <col min="42" max="42" width="11.7109375" style="79" customWidth="1"/>
    <col min="43" max="43" width="1.7109375" style="79" customWidth="1"/>
    <col min="44" max="44" width="11.7109375" style="79" hidden="1" customWidth="1"/>
    <col min="45" max="45" width="1.7109375" style="79" hidden="1" customWidth="1"/>
    <col min="46" max="46" width="11.7109375" style="79" hidden="1" customWidth="1"/>
    <col min="47" max="47" width="1.7109375" style="79" hidden="1" customWidth="1"/>
    <col min="48" max="48" width="11.7109375" style="79" customWidth="1"/>
    <col min="49" max="49" width="2.421875" style="79" customWidth="1"/>
    <col min="50" max="50" width="14.140625" style="79" customWidth="1"/>
    <col min="51" max="51" width="1.7109375" style="79" customWidth="1"/>
    <col min="52" max="52" width="11.7109375" style="79" customWidth="1"/>
    <col min="53" max="53" width="1.7109375" style="79" customWidth="1"/>
    <col min="54" max="54" width="11.7109375" style="79" customWidth="1"/>
    <col min="55" max="55" width="1.7109375" style="79" customWidth="1"/>
    <col min="56" max="56" width="11.7109375" style="79" customWidth="1"/>
    <col min="57" max="57" width="1.7109375" style="79" customWidth="1"/>
    <col min="58" max="58" width="11.7109375" style="79" customWidth="1"/>
    <col min="59" max="59" width="1.7109375" style="79" hidden="1" customWidth="1"/>
    <col min="60" max="60" width="11.7109375" style="79" hidden="1" customWidth="1"/>
    <col min="61" max="61" width="1.7109375" style="79" customWidth="1"/>
    <col min="62" max="62" width="11.7109375" style="79" customWidth="1"/>
    <col min="63" max="63" width="13.57421875" style="79" customWidth="1"/>
    <col min="64" max="16384" width="8.421875" style="79" customWidth="1"/>
  </cols>
  <sheetData>
    <row r="1" spans="1:50" s="64" customFormat="1" ht="12.75">
      <c r="A1" s="63" t="s">
        <v>195</v>
      </c>
      <c r="B1" s="8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05" t="s">
        <v>195</v>
      </c>
      <c r="Y1" s="106"/>
      <c r="Z1" s="106"/>
      <c r="AA1" s="59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X1" s="107" t="s">
        <v>195</v>
      </c>
    </row>
    <row r="2" spans="1:50" s="64" customFormat="1" ht="12.75">
      <c r="A2" s="63" t="s">
        <v>137</v>
      </c>
      <c r="B2" s="8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3" t="s">
        <v>250</v>
      </c>
      <c r="Y2" s="106"/>
      <c r="Z2" s="106"/>
      <c r="AA2" s="59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X2" s="107" t="s">
        <v>102</v>
      </c>
    </row>
    <row r="3" spans="1:50" s="64" customFormat="1" ht="12.75">
      <c r="A3" s="63" t="s">
        <v>254</v>
      </c>
      <c r="B3" s="8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7" t="s">
        <v>254</v>
      </c>
      <c r="Y3" s="106"/>
      <c r="Z3" s="106"/>
      <c r="AA3" s="59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X3" s="63" t="s">
        <v>253</v>
      </c>
    </row>
    <row r="4" spans="1:50" s="36" customFormat="1" ht="12">
      <c r="A4" s="89"/>
      <c r="B4" s="89"/>
      <c r="C4" s="89"/>
      <c r="D4" s="89"/>
      <c r="E4" s="89"/>
      <c r="F4" s="89"/>
      <c r="G4" s="89"/>
      <c r="H4" s="8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89"/>
      <c r="AA4" s="23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X4" s="90"/>
    </row>
    <row r="5" spans="1:50" s="36" customFormat="1" ht="12">
      <c r="A5" s="57" t="s">
        <v>184</v>
      </c>
      <c r="B5" s="89"/>
      <c r="C5" s="89"/>
      <c r="D5" s="89"/>
      <c r="E5" s="89"/>
      <c r="F5" s="89"/>
      <c r="G5" s="89"/>
      <c r="H5" s="89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57"/>
      <c r="AA5" s="23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X5" s="57" t="s">
        <v>184</v>
      </c>
    </row>
    <row r="6" spans="1:62" s="36" customFormat="1" ht="12">
      <c r="A6" s="19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138</v>
      </c>
      <c r="P6" s="50"/>
      <c r="Q6" s="50"/>
      <c r="R6" s="50"/>
      <c r="S6" s="50"/>
      <c r="T6" s="50"/>
      <c r="U6" s="50"/>
      <c r="V6" s="5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50" t="s">
        <v>102</v>
      </c>
      <c r="BA6" s="50"/>
      <c r="BB6" s="50"/>
      <c r="BC6" s="50"/>
      <c r="BD6" s="50"/>
      <c r="BE6" s="50"/>
      <c r="BF6" s="50"/>
      <c r="BG6" s="51"/>
      <c r="BH6" s="51"/>
      <c r="BI6" s="51"/>
      <c r="BJ6" s="17"/>
    </row>
    <row r="7" spans="1:62" s="36" customFormat="1" ht="12">
      <c r="A7" s="1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21"/>
      <c r="W7" s="108" t="s">
        <v>194</v>
      </c>
      <c r="X7" s="51"/>
      <c r="Y7" s="5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 t="s">
        <v>190</v>
      </c>
      <c r="AQ7" s="21"/>
      <c r="AR7" s="21" t="s">
        <v>155</v>
      </c>
      <c r="AS7" s="21"/>
      <c r="AT7" s="21" t="s">
        <v>155</v>
      </c>
      <c r="AU7" s="21"/>
      <c r="AV7" s="21"/>
      <c r="AW7" s="21"/>
      <c r="AX7" s="21"/>
      <c r="AY7" s="21"/>
      <c r="AZ7" s="21" t="s">
        <v>103</v>
      </c>
      <c r="BA7" s="21"/>
      <c r="BB7" s="21" t="s">
        <v>104</v>
      </c>
      <c r="BC7" s="21"/>
      <c r="BD7" s="21"/>
      <c r="BE7" s="21"/>
      <c r="BF7" s="21" t="s">
        <v>105</v>
      </c>
      <c r="BG7" s="21"/>
      <c r="BH7" s="21" t="s">
        <v>191</v>
      </c>
      <c r="BI7" s="21"/>
      <c r="BJ7" s="21" t="s">
        <v>4</v>
      </c>
    </row>
    <row r="8" spans="1:62" s="36" customFormat="1" ht="12">
      <c r="A8" s="19"/>
      <c r="B8" s="19"/>
      <c r="C8" s="21" t="s">
        <v>135</v>
      </c>
      <c r="D8" s="21"/>
      <c r="E8" s="21" t="s">
        <v>156</v>
      </c>
      <c r="F8" s="21"/>
      <c r="G8" s="21" t="s">
        <v>4</v>
      </c>
      <c r="H8" s="21"/>
      <c r="I8" s="21" t="s">
        <v>135</v>
      </c>
      <c r="J8" s="21"/>
      <c r="K8" s="21" t="s">
        <v>156</v>
      </c>
      <c r="L8" s="21"/>
      <c r="M8" s="21" t="s">
        <v>4</v>
      </c>
      <c r="N8" s="21"/>
      <c r="O8" s="21" t="s">
        <v>139</v>
      </c>
      <c r="P8" s="21"/>
      <c r="Q8" s="21"/>
      <c r="R8" s="21"/>
      <c r="S8" s="21"/>
      <c r="T8" s="21"/>
      <c r="U8" s="21" t="s">
        <v>232</v>
      </c>
      <c r="V8" s="21"/>
      <c r="W8" s="21"/>
      <c r="X8" s="21"/>
      <c r="Y8" s="21"/>
      <c r="Z8" s="21" t="s">
        <v>101</v>
      </c>
      <c r="AA8" s="21"/>
      <c r="AB8" s="21" t="s">
        <v>157</v>
      </c>
      <c r="AC8" s="21"/>
      <c r="AD8" s="21"/>
      <c r="AE8" s="21"/>
      <c r="AF8" s="21" t="s">
        <v>101</v>
      </c>
      <c r="AG8" s="21"/>
      <c r="AH8" s="21" t="s">
        <v>158</v>
      </c>
      <c r="AI8" s="21"/>
      <c r="AJ8" s="21" t="s">
        <v>101</v>
      </c>
      <c r="AK8" s="21"/>
      <c r="AL8" s="21" t="s">
        <v>101</v>
      </c>
      <c r="AM8" s="21"/>
      <c r="AN8" s="21" t="s">
        <v>87</v>
      </c>
      <c r="AO8" s="21"/>
      <c r="AP8" s="21" t="s">
        <v>231</v>
      </c>
      <c r="AQ8" s="21"/>
      <c r="AR8" s="21" t="s">
        <v>159</v>
      </c>
      <c r="AS8" s="21"/>
      <c r="AT8" s="21" t="s">
        <v>159</v>
      </c>
      <c r="AU8" s="21"/>
      <c r="AV8" s="21" t="s">
        <v>106</v>
      </c>
      <c r="AW8" s="21"/>
      <c r="AX8" s="21"/>
      <c r="AY8" s="21"/>
      <c r="AZ8" s="21" t="s">
        <v>107</v>
      </c>
      <c r="BA8" s="21"/>
      <c r="BB8" s="21" t="s">
        <v>12</v>
      </c>
      <c r="BC8" s="21"/>
      <c r="BD8" s="21"/>
      <c r="BE8" s="21"/>
      <c r="BF8" s="21" t="s">
        <v>108</v>
      </c>
      <c r="BG8" s="21"/>
      <c r="BH8" s="21" t="s">
        <v>192</v>
      </c>
      <c r="BI8" s="21"/>
      <c r="BJ8" s="21" t="s">
        <v>108</v>
      </c>
    </row>
    <row r="9" spans="1:62" s="36" customFormat="1" ht="12">
      <c r="A9" s="22" t="s">
        <v>5</v>
      </c>
      <c r="B9" s="19"/>
      <c r="C9" s="20" t="s">
        <v>116</v>
      </c>
      <c r="D9" s="21"/>
      <c r="E9" s="20" t="s">
        <v>116</v>
      </c>
      <c r="F9" s="21"/>
      <c r="G9" s="20" t="s">
        <v>116</v>
      </c>
      <c r="H9" s="21"/>
      <c r="I9" s="20" t="s">
        <v>122</v>
      </c>
      <c r="J9" s="21"/>
      <c r="K9" s="20" t="s">
        <v>122</v>
      </c>
      <c r="L9" s="21"/>
      <c r="M9" s="20" t="s">
        <v>122</v>
      </c>
      <c r="N9" s="21"/>
      <c r="O9" s="20" t="s">
        <v>141</v>
      </c>
      <c r="P9" s="21"/>
      <c r="Q9" s="20" t="s">
        <v>142</v>
      </c>
      <c r="R9" s="21"/>
      <c r="S9" s="20" t="s">
        <v>143</v>
      </c>
      <c r="T9" s="21"/>
      <c r="U9" s="20" t="s">
        <v>116</v>
      </c>
      <c r="V9" s="21"/>
      <c r="W9" s="21"/>
      <c r="X9" s="22" t="s">
        <v>5</v>
      </c>
      <c r="Y9" s="21"/>
      <c r="Z9" s="20" t="s">
        <v>12</v>
      </c>
      <c r="AA9" s="21"/>
      <c r="AB9" s="20" t="s">
        <v>109</v>
      </c>
      <c r="AC9" s="21"/>
      <c r="AD9" s="20" t="s">
        <v>109</v>
      </c>
      <c r="AE9" s="21"/>
      <c r="AF9" s="20" t="s">
        <v>110</v>
      </c>
      <c r="AG9" s="21"/>
      <c r="AH9" s="20" t="s">
        <v>160</v>
      </c>
      <c r="AI9" s="21"/>
      <c r="AJ9" s="20" t="s">
        <v>111</v>
      </c>
      <c r="AK9" s="21"/>
      <c r="AL9" s="20" t="s">
        <v>112</v>
      </c>
      <c r="AM9" s="21"/>
      <c r="AN9" s="20" t="s">
        <v>161</v>
      </c>
      <c r="AO9" s="21"/>
      <c r="AP9" s="20" t="s">
        <v>138</v>
      </c>
      <c r="AQ9" s="21"/>
      <c r="AR9" s="20" t="s">
        <v>162</v>
      </c>
      <c r="AS9" s="21"/>
      <c r="AT9" s="20" t="s">
        <v>163</v>
      </c>
      <c r="AU9" s="21"/>
      <c r="AV9" s="20" t="s">
        <v>87</v>
      </c>
      <c r="AW9" s="21"/>
      <c r="AX9" s="22" t="s">
        <v>5</v>
      </c>
      <c r="AY9" s="21"/>
      <c r="AZ9" s="20" t="s">
        <v>113</v>
      </c>
      <c r="BA9" s="21"/>
      <c r="BB9" s="20" t="s">
        <v>113</v>
      </c>
      <c r="BC9" s="21"/>
      <c r="BD9" s="20" t="s">
        <v>114</v>
      </c>
      <c r="BE9" s="21"/>
      <c r="BF9" s="20" t="s">
        <v>115</v>
      </c>
      <c r="BG9" s="21"/>
      <c r="BH9" s="20" t="s">
        <v>193</v>
      </c>
      <c r="BI9" s="21"/>
      <c r="BJ9" s="20" t="s">
        <v>122</v>
      </c>
    </row>
    <row r="10" spans="1:62" s="36" customFormat="1" ht="12">
      <c r="A10" s="19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19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36" customFormat="1" ht="12" hidden="1">
      <c r="A11" s="89" t="s">
        <v>237</v>
      </c>
      <c r="B11" s="19"/>
      <c r="C11" s="35">
        <f aca="true" t="shared" si="0" ref="C11:C16">+G11-E11</f>
        <v>5611</v>
      </c>
      <c r="D11" s="35"/>
      <c r="E11" s="35">
        <v>0</v>
      </c>
      <c r="F11" s="35"/>
      <c r="G11" s="35">
        <v>5611</v>
      </c>
      <c r="H11" s="35"/>
      <c r="I11" s="35">
        <f>+M11-K11</f>
        <v>0</v>
      </c>
      <c r="J11" s="35"/>
      <c r="K11" s="35">
        <f>SUM(BJ11)</f>
        <v>0</v>
      </c>
      <c r="L11" s="35"/>
      <c r="M11" s="35">
        <v>0</v>
      </c>
      <c r="N11" s="35"/>
      <c r="O11" s="35">
        <v>0</v>
      </c>
      <c r="P11" s="35"/>
      <c r="Q11" s="35">
        <v>0</v>
      </c>
      <c r="R11" s="35"/>
      <c r="S11" s="35">
        <v>5611</v>
      </c>
      <c r="T11" s="35"/>
      <c r="U11" s="35">
        <f>SUM(O11:S11)</f>
        <v>5611</v>
      </c>
      <c r="V11" s="35"/>
      <c r="W11" s="35"/>
      <c r="X11" s="23" t="s">
        <v>237</v>
      </c>
      <c r="Y11" s="35"/>
      <c r="Z11" s="35">
        <v>9194</v>
      </c>
      <c r="AA11" s="35"/>
      <c r="AB11" s="35">
        <v>13313</v>
      </c>
      <c r="AC11" s="35"/>
      <c r="AD11" s="35">
        <v>0</v>
      </c>
      <c r="AE11" s="35"/>
      <c r="AF11" s="35">
        <f>+Z11-AB11-AD11</f>
        <v>-4119</v>
      </c>
      <c r="AG11" s="35"/>
      <c r="AH11" s="35">
        <v>0</v>
      </c>
      <c r="AI11" s="35"/>
      <c r="AJ11" s="35">
        <v>0</v>
      </c>
      <c r="AK11" s="35"/>
      <c r="AL11" s="35">
        <v>0</v>
      </c>
      <c r="AM11" s="35"/>
      <c r="AN11" s="35">
        <v>0</v>
      </c>
      <c r="AO11" s="35"/>
      <c r="AP11" s="35">
        <f aca="true" t="shared" si="1" ref="AP11:AP16">+AN11+AJ11+AH11+AF11-AL11</f>
        <v>-4119</v>
      </c>
      <c r="AQ11" s="35"/>
      <c r="AR11" s="35"/>
      <c r="AS11" s="35"/>
      <c r="AT11" s="35"/>
      <c r="AU11" s="35"/>
      <c r="AV11" s="35">
        <f>C11-I11</f>
        <v>5611</v>
      </c>
      <c r="AW11" s="35"/>
      <c r="AX11" s="23" t="s">
        <v>237</v>
      </c>
      <c r="AY11" s="35"/>
      <c r="AZ11" s="35">
        <v>0</v>
      </c>
      <c r="BA11" s="35"/>
      <c r="BB11" s="35">
        <v>0</v>
      </c>
      <c r="BC11" s="35"/>
      <c r="BD11" s="35">
        <v>0</v>
      </c>
      <c r="BE11" s="35"/>
      <c r="BF11" s="35">
        <v>0</v>
      </c>
      <c r="BG11" s="35"/>
      <c r="BH11" s="35"/>
      <c r="BI11" s="35"/>
      <c r="BJ11" s="17">
        <f>SUM(AZ11:BF11)+BH11</f>
        <v>0</v>
      </c>
    </row>
    <row r="12" spans="1:62" s="36" customFormat="1" ht="12" hidden="1">
      <c r="A12" s="23" t="s">
        <v>13</v>
      </c>
      <c r="B12" s="23"/>
      <c r="C12" s="74">
        <f t="shared" si="0"/>
        <v>0</v>
      </c>
      <c r="D12" s="35"/>
      <c r="E12" s="74">
        <v>0</v>
      </c>
      <c r="F12" s="35"/>
      <c r="G12" s="74">
        <v>0</v>
      </c>
      <c r="H12" s="35"/>
      <c r="I12" s="74">
        <f>+M12-K12</f>
        <v>0</v>
      </c>
      <c r="J12" s="35"/>
      <c r="K12" s="74">
        <v>0</v>
      </c>
      <c r="L12" s="35"/>
      <c r="M12" s="74">
        <v>0</v>
      </c>
      <c r="N12" s="35"/>
      <c r="O12" s="74">
        <v>0</v>
      </c>
      <c r="P12" s="35"/>
      <c r="Q12" s="74">
        <v>0</v>
      </c>
      <c r="R12" s="35"/>
      <c r="S12" s="74">
        <v>0</v>
      </c>
      <c r="T12" s="35"/>
      <c r="U12" s="74">
        <f>SUM(O12:S12)</f>
        <v>0</v>
      </c>
      <c r="V12" s="35"/>
      <c r="W12" s="35"/>
      <c r="X12" s="23" t="s">
        <v>13</v>
      </c>
      <c r="Y12" s="35"/>
      <c r="Z12" s="74">
        <v>0</v>
      </c>
      <c r="AA12" s="35"/>
      <c r="AB12" s="74">
        <v>0</v>
      </c>
      <c r="AC12" s="35"/>
      <c r="AD12" s="74">
        <v>0</v>
      </c>
      <c r="AE12" s="35"/>
      <c r="AF12" s="74">
        <f>+Z12-AB12-AD12</f>
        <v>0</v>
      </c>
      <c r="AG12" s="35"/>
      <c r="AH12" s="74">
        <v>0</v>
      </c>
      <c r="AI12" s="35"/>
      <c r="AJ12" s="74">
        <v>0</v>
      </c>
      <c r="AK12" s="35"/>
      <c r="AL12" s="74">
        <v>0</v>
      </c>
      <c r="AM12" s="35"/>
      <c r="AN12" s="74">
        <v>0</v>
      </c>
      <c r="AO12" s="35"/>
      <c r="AP12" s="74">
        <f t="shared" si="1"/>
        <v>0</v>
      </c>
      <c r="AQ12" s="35"/>
      <c r="AR12" s="35">
        <v>0</v>
      </c>
      <c r="AS12" s="35"/>
      <c r="AT12" s="35">
        <v>0</v>
      </c>
      <c r="AU12" s="35"/>
      <c r="AV12" s="74">
        <f>C12-I12</f>
        <v>0</v>
      </c>
      <c r="AW12" s="35"/>
      <c r="AX12" s="23" t="s">
        <v>13</v>
      </c>
      <c r="AY12" s="35"/>
      <c r="AZ12" s="74">
        <v>0</v>
      </c>
      <c r="BA12" s="35"/>
      <c r="BB12" s="74">
        <v>0</v>
      </c>
      <c r="BC12" s="35"/>
      <c r="BD12" s="74">
        <v>0</v>
      </c>
      <c r="BE12" s="35"/>
      <c r="BF12" s="74">
        <v>0</v>
      </c>
      <c r="BG12" s="35"/>
      <c r="BH12" s="35"/>
      <c r="BI12" s="35"/>
      <c r="BJ12" s="48">
        <f>SUM(AZ12:BF12)+BH12</f>
        <v>0</v>
      </c>
    </row>
    <row r="13" spans="1:62" s="36" customFormat="1" ht="12" hidden="1">
      <c r="A13" s="23" t="s">
        <v>14</v>
      </c>
      <c r="B13" s="23"/>
      <c r="C13" s="35">
        <f t="shared" si="0"/>
        <v>0</v>
      </c>
      <c r="D13" s="35"/>
      <c r="E13" s="35">
        <v>0</v>
      </c>
      <c r="F13" s="35"/>
      <c r="G13" s="35">
        <v>0</v>
      </c>
      <c r="H13" s="35"/>
      <c r="I13" s="35">
        <f>+M13-K13</f>
        <v>0</v>
      </c>
      <c r="J13" s="35"/>
      <c r="K13" s="35">
        <f>SUM(BJ13)</f>
        <v>0</v>
      </c>
      <c r="L13" s="35"/>
      <c r="M13" s="35">
        <v>0</v>
      </c>
      <c r="N13" s="35"/>
      <c r="O13" s="35">
        <v>0</v>
      </c>
      <c r="P13" s="35"/>
      <c r="Q13" s="35">
        <v>0</v>
      </c>
      <c r="R13" s="35"/>
      <c r="S13" s="35">
        <v>0</v>
      </c>
      <c r="T13" s="35"/>
      <c r="U13" s="35">
        <f aca="true" t="shared" si="2" ref="U13:U76">SUM(O13:S13)</f>
        <v>0</v>
      </c>
      <c r="V13" s="35"/>
      <c r="W13" s="35"/>
      <c r="X13" s="23" t="s">
        <v>14</v>
      </c>
      <c r="Y13" s="35"/>
      <c r="Z13" s="35">
        <v>0</v>
      </c>
      <c r="AA13" s="35"/>
      <c r="AB13" s="35">
        <v>0</v>
      </c>
      <c r="AC13" s="35"/>
      <c r="AD13" s="35">
        <v>0</v>
      </c>
      <c r="AE13" s="35"/>
      <c r="AF13" s="35">
        <f aca="true" t="shared" si="3" ref="AF13:AF76">+Z13-AB13-AD13</f>
        <v>0</v>
      </c>
      <c r="AG13" s="35"/>
      <c r="AH13" s="35">
        <v>0</v>
      </c>
      <c r="AI13" s="35"/>
      <c r="AJ13" s="35">
        <v>0</v>
      </c>
      <c r="AK13" s="35"/>
      <c r="AL13" s="35">
        <v>0</v>
      </c>
      <c r="AM13" s="35"/>
      <c r="AN13" s="35">
        <v>0</v>
      </c>
      <c r="AO13" s="35"/>
      <c r="AP13" s="35">
        <f t="shared" si="1"/>
        <v>0</v>
      </c>
      <c r="AQ13" s="35"/>
      <c r="AR13" s="35">
        <v>0</v>
      </c>
      <c r="AS13" s="35"/>
      <c r="AT13" s="35">
        <v>0</v>
      </c>
      <c r="AU13" s="35"/>
      <c r="AV13" s="35">
        <f aca="true" t="shared" si="4" ref="AV13:AV76">C13-I13</f>
        <v>0</v>
      </c>
      <c r="AW13" s="35"/>
      <c r="AX13" s="23" t="s">
        <v>14</v>
      </c>
      <c r="AY13" s="35"/>
      <c r="AZ13" s="35">
        <v>0</v>
      </c>
      <c r="BA13" s="35"/>
      <c r="BB13" s="35">
        <v>0</v>
      </c>
      <c r="BC13" s="35"/>
      <c r="BD13" s="35">
        <v>0</v>
      </c>
      <c r="BE13" s="35"/>
      <c r="BF13" s="35">
        <v>0</v>
      </c>
      <c r="BG13" s="35"/>
      <c r="BH13" s="35"/>
      <c r="BI13" s="35"/>
      <c r="BJ13" s="17">
        <f aca="true" t="shared" si="5" ref="BJ13:BJ76">SUM(AZ13:BF13)+BH13</f>
        <v>0</v>
      </c>
    </row>
    <row r="14" spans="1:62" s="36" customFormat="1" ht="12">
      <c r="A14" s="23" t="s">
        <v>15</v>
      </c>
      <c r="B14" s="23"/>
      <c r="C14" s="74">
        <f t="shared" si="0"/>
        <v>2830497</v>
      </c>
      <c r="D14" s="74"/>
      <c r="E14" s="74">
        <v>20612472</v>
      </c>
      <c r="F14" s="74"/>
      <c r="G14" s="74">
        <v>23442969</v>
      </c>
      <c r="H14" s="74"/>
      <c r="I14" s="74">
        <f>+M14-K14</f>
        <v>1056068</v>
      </c>
      <c r="J14" s="74"/>
      <c r="K14" s="74">
        <v>18035090</v>
      </c>
      <c r="L14" s="74"/>
      <c r="M14" s="74">
        <v>19091158</v>
      </c>
      <c r="N14" s="74"/>
      <c r="O14" s="74">
        <v>1622368</v>
      </c>
      <c r="P14" s="74"/>
      <c r="Q14" s="74">
        <v>0</v>
      </c>
      <c r="R14" s="74"/>
      <c r="S14" s="74">
        <v>2729443</v>
      </c>
      <c r="T14" s="74"/>
      <c r="U14" s="74">
        <f t="shared" si="2"/>
        <v>4351811</v>
      </c>
      <c r="V14" s="35">
        <f>G14-M14-U14</f>
        <v>0</v>
      </c>
      <c r="W14" s="35"/>
      <c r="X14" s="23" t="s">
        <v>15</v>
      </c>
      <c r="Y14" s="35"/>
      <c r="Z14" s="74">
        <v>3661813</v>
      </c>
      <c r="AA14" s="35"/>
      <c r="AB14" s="74">
        <f>2273107-14967</f>
        <v>2258140</v>
      </c>
      <c r="AC14" s="35"/>
      <c r="AD14" s="74">
        <v>14967</v>
      </c>
      <c r="AE14" s="35"/>
      <c r="AF14" s="74">
        <f t="shared" si="3"/>
        <v>1388706</v>
      </c>
      <c r="AG14" s="35"/>
      <c r="AH14" s="74">
        <v>-159727</v>
      </c>
      <c r="AI14" s="35"/>
      <c r="AJ14" s="74">
        <v>0</v>
      </c>
      <c r="AK14" s="35"/>
      <c r="AL14" s="74">
        <v>0</v>
      </c>
      <c r="AM14" s="35"/>
      <c r="AN14" s="74">
        <v>0</v>
      </c>
      <c r="AO14" s="35"/>
      <c r="AP14" s="74">
        <f t="shared" si="1"/>
        <v>1228979</v>
      </c>
      <c r="AQ14" s="35"/>
      <c r="AR14" s="35">
        <v>0</v>
      </c>
      <c r="AS14" s="35"/>
      <c r="AT14" s="35">
        <v>0</v>
      </c>
      <c r="AU14" s="35"/>
      <c r="AV14" s="74">
        <f t="shared" si="4"/>
        <v>1774429</v>
      </c>
      <c r="AW14" s="35"/>
      <c r="AX14" s="23" t="s">
        <v>15</v>
      </c>
      <c r="AY14" s="35"/>
      <c r="AZ14" s="74">
        <v>0</v>
      </c>
      <c r="BA14" s="35"/>
      <c r="BB14" s="74">
        <v>4625000</v>
      </c>
      <c r="BC14" s="35"/>
      <c r="BD14" s="74">
        <f>12461961+943250</f>
        <v>13405211</v>
      </c>
      <c r="BE14" s="35"/>
      <c r="BF14" s="74">
        <f>4879</f>
        <v>4879</v>
      </c>
      <c r="BG14" s="35"/>
      <c r="BH14" s="35"/>
      <c r="BI14" s="35"/>
      <c r="BJ14" s="48">
        <f t="shared" si="5"/>
        <v>18035090</v>
      </c>
    </row>
    <row r="15" spans="1:62" s="36" customFormat="1" ht="12" hidden="1">
      <c r="A15" s="23" t="s">
        <v>16</v>
      </c>
      <c r="B15" s="23"/>
      <c r="C15" s="74">
        <f t="shared" si="0"/>
        <v>0</v>
      </c>
      <c r="D15" s="35"/>
      <c r="E15" s="35">
        <v>0</v>
      </c>
      <c r="F15" s="35"/>
      <c r="G15" s="35">
        <v>0</v>
      </c>
      <c r="H15" s="35"/>
      <c r="I15" s="74">
        <f>+M15-K15</f>
        <v>0</v>
      </c>
      <c r="J15" s="35"/>
      <c r="K15" s="35">
        <v>0</v>
      </c>
      <c r="L15" s="35"/>
      <c r="M15" s="35">
        <v>0</v>
      </c>
      <c r="N15" s="35"/>
      <c r="O15" s="35">
        <v>0</v>
      </c>
      <c r="P15" s="35"/>
      <c r="Q15" s="35">
        <v>0</v>
      </c>
      <c r="R15" s="35"/>
      <c r="S15" s="35">
        <v>0</v>
      </c>
      <c r="T15" s="35"/>
      <c r="U15" s="35">
        <f t="shared" si="2"/>
        <v>0</v>
      </c>
      <c r="V15" s="35"/>
      <c r="W15" s="35"/>
      <c r="X15" s="23" t="s">
        <v>16</v>
      </c>
      <c r="Y15" s="35"/>
      <c r="Z15" s="35">
        <v>0</v>
      </c>
      <c r="AA15" s="35"/>
      <c r="AB15" s="35">
        <v>0</v>
      </c>
      <c r="AC15" s="35"/>
      <c r="AD15" s="35">
        <v>0</v>
      </c>
      <c r="AE15" s="35"/>
      <c r="AF15" s="35">
        <f t="shared" si="3"/>
        <v>0</v>
      </c>
      <c r="AG15" s="35"/>
      <c r="AH15" s="35">
        <v>0</v>
      </c>
      <c r="AI15" s="35"/>
      <c r="AJ15" s="35">
        <v>0</v>
      </c>
      <c r="AK15" s="35"/>
      <c r="AL15" s="35">
        <v>0</v>
      </c>
      <c r="AM15" s="35"/>
      <c r="AN15" s="35">
        <v>0</v>
      </c>
      <c r="AO15" s="35"/>
      <c r="AP15" s="35">
        <f t="shared" si="1"/>
        <v>0</v>
      </c>
      <c r="AQ15" s="35"/>
      <c r="AR15" s="35">
        <v>0</v>
      </c>
      <c r="AS15" s="35"/>
      <c r="AT15" s="35">
        <v>0</v>
      </c>
      <c r="AU15" s="35"/>
      <c r="AV15" s="35">
        <f>C15-I15</f>
        <v>0</v>
      </c>
      <c r="AW15" s="35"/>
      <c r="AX15" s="23" t="s">
        <v>16</v>
      </c>
      <c r="AY15" s="35"/>
      <c r="AZ15" s="35">
        <v>0</v>
      </c>
      <c r="BA15" s="35"/>
      <c r="BB15" s="35">
        <v>0</v>
      </c>
      <c r="BC15" s="35"/>
      <c r="BD15" s="35">
        <v>0</v>
      </c>
      <c r="BE15" s="35"/>
      <c r="BF15" s="35">
        <v>0</v>
      </c>
      <c r="BG15" s="35"/>
      <c r="BH15" s="35"/>
      <c r="BI15" s="35"/>
      <c r="BJ15" s="17">
        <f t="shared" si="5"/>
        <v>0</v>
      </c>
    </row>
    <row r="16" spans="1:62" s="36" customFormat="1" ht="12" hidden="1">
      <c r="A16" s="23" t="s">
        <v>17</v>
      </c>
      <c r="B16" s="23"/>
      <c r="C16" s="35">
        <f t="shared" si="0"/>
        <v>0</v>
      </c>
      <c r="D16" s="35"/>
      <c r="E16" s="35">
        <v>0</v>
      </c>
      <c r="F16" s="35"/>
      <c r="G16" s="35">
        <v>0</v>
      </c>
      <c r="H16" s="35"/>
      <c r="I16" s="35">
        <f aca="true" t="shared" si="6" ref="I16:I23">+M16-K16</f>
        <v>0</v>
      </c>
      <c r="J16" s="35"/>
      <c r="K16" s="35">
        <v>0</v>
      </c>
      <c r="L16" s="35"/>
      <c r="M16" s="35"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5">
        <f t="shared" si="2"/>
        <v>0</v>
      </c>
      <c r="V16" s="35"/>
      <c r="W16" s="35"/>
      <c r="X16" s="23" t="s">
        <v>17</v>
      </c>
      <c r="Y16" s="35"/>
      <c r="Z16" s="35">
        <v>0</v>
      </c>
      <c r="AA16" s="35"/>
      <c r="AB16" s="35">
        <v>0</v>
      </c>
      <c r="AC16" s="35"/>
      <c r="AD16" s="35">
        <v>0</v>
      </c>
      <c r="AE16" s="35"/>
      <c r="AF16" s="35">
        <f t="shared" si="3"/>
        <v>0</v>
      </c>
      <c r="AG16" s="35"/>
      <c r="AH16" s="35">
        <v>0</v>
      </c>
      <c r="AI16" s="35"/>
      <c r="AJ16" s="35">
        <v>0</v>
      </c>
      <c r="AK16" s="35"/>
      <c r="AL16" s="35">
        <v>0</v>
      </c>
      <c r="AM16" s="35"/>
      <c r="AN16" s="35">
        <v>0</v>
      </c>
      <c r="AO16" s="35"/>
      <c r="AP16" s="35">
        <f t="shared" si="1"/>
        <v>0</v>
      </c>
      <c r="AQ16" s="35"/>
      <c r="AR16" s="35">
        <v>0</v>
      </c>
      <c r="AS16" s="35"/>
      <c r="AT16" s="35">
        <v>0</v>
      </c>
      <c r="AU16" s="35"/>
      <c r="AV16" s="35">
        <f t="shared" si="4"/>
        <v>0</v>
      </c>
      <c r="AW16" s="35"/>
      <c r="AX16" s="23" t="s">
        <v>17</v>
      </c>
      <c r="AY16" s="35"/>
      <c r="AZ16" s="35">
        <v>0</v>
      </c>
      <c r="BA16" s="35"/>
      <c r="BB16" s="35">
        <v>0</v>
      </c>
      <c r="BC16" s="35"/>
      <c r="BD16" s="35">
        <v>0</v>
      </c>
      <c r="BE16" s="35"/>
      <c r="BF16" s="35">
        <v>0</v>
      </c>
      <c r="BG16" s="35"/>
      <c r="BH16" s="35"/>
      <c r="BI16" s="35"/>
      <c r="BJ16" s="17">
        <f t="shared" si="5"/>
        <v>0</v>
      </c>
    </row>
    <row r="17" spans="1:62" s="36" customFormat="1" ht="12">
      <c r="A17" s="23" t="s">
        <v>18</v>
      </c>
      <c r="B17" s="23"/>
      <c r="C17" s="35">
        <f aca="true" t="shared" si="7" ref="C17:C80">+G17-E17</f>
        <v>2927254</v>
      </c>
      <c r="D17" s="35"/>
      <c r="E17" s="35">
        <v>21334538</v>
      </c>
      <c r="F17" s="35"/>
      <c r="G17" s="35">
        <v>24261792</v>
      </c>
      <c r="H17" s="35"/>
      <c r="I17" s="35">
        <f t="shared" si="6"/>
        <v>1016675</v>
      </c>
      <c r="J17" s="35"/>
      <c r="K17" s="35">
        <v>10242703</v>
      </c>
      <c r="L17" s="35"/>
      <c r="M17" s="35">
        <v>11259378</v>
      </c>
      <c r="N17" s="35"/>
      <c r="O17" s="35">
        <v>10518028</v>
      </c>
      <c r="P17" s="35"/>
      <c r="Q17" s="35">
        <v>379666</v>
      </c>
      <c r="R17" s="35"/>
      <c r="S17" s="35">
        <v>2104720</v>
      </c>
      <c r="T17" s="35"/>
      <c r="U17" s="35">
        <f t="shared" si="2"/>
        <v>13002414</v>
      </c>
      <c r="V17" s="35">
        <f>G17-M17-U17</f>
        <v>0</v>
      </c>
      <c r="W17" s="35"/>
      <c r="X17" s="23" t="s">
        <v>18</v>
      </c>
      <c r="Y17" s="35"/>
      <c r="Z17" s="35">
        <v>2891167</v>
      </c>
      <c r="AA17" s="35"/>
      <c r="AB17" s="35">
        <f>3044289-664459</f>
        <v>2379830</v>
      </c>
      <c r="AC17" s="35"/>
      <c r="AD17" s="35">
        <v>664459</v>
      </c>
      <c r="AE17" s="35"/>
      <c r="AF17" s="35">
        <f t="shared" si="3"/>
        <v>-153122</v>
      </c>
      <c r="AG17" s="35"/>
      <c r="AH17" s="35">
        <v>-503583</v>
      </c>
      <c r="AI17" s="35"/>
      <c r="AJ17" s="35">
        <v>235714</v>
      </c>
      <c r="AK17" s="35"/>
      <c r="AL17" s="35">
        <v>0</v>
      </c>
      <c r="AM17" s="35"/>
      <c r="AN17" s="35">
        <v>1188652</v>
      </c>
      <c r="AO17" s="35"/>
      <c r="AP17" s="35">
        <f aca="true" t="shared" si="8" ref="AP17:AP80">+AN17+AJ17+AH17+AF17-AL17</f>
        <v>767661</v>
      </c>
      <c r="AQ17" s="35"/>
      <c r="AR17" s="35">
        <v>0</v>
      </c>
      <c r="AS17" s="35"/>
      <c r="AT17" s="35">
        <v>0</v>
      </c>
      <c r="AU17" s="35"/>
      <c r="AV17" s="35">
        <f t="shared" si="4"/>
        <v>1910579</v>
      </c>
      <c r="AW17" s="35"/>
      <c r="AX17" s="23" t="s">
        <v>18</v>
      </c>
      <c r="AY17" s="35"/>
      <c r="AZ17" s="35">
        <v>3826650</v>
      </c>
      <c r="BA17" s="35"/>
      <c r="BB17" s="35">
        <v>6170000</v>
      </c>
      <c r="BC17" s="35"/>
      <c r="BD17" s="35">
        <v>153360</v>
      </c>
      <c r="BE17" s="35"/>
      <c r="BF17" s="35">
        <f>57448+35245</f>
        <v>92693</v>
      </c>
      <c r="BG17" s="35"/>
      <c r="BH17" s="35"/>
      <c r="BI17" s="35"/>
      <c r="BJ17" s="17">
        <f t="shared" si="5"/>
        <v>10242703</v>
      </c>
    </row>
    <row r="18" spans="1:62" s="36" customFormat="1" ht="12" hidden="1">
      <c r="A18" s="23" t="s">
        <v>240</v>
      </c>
      <c r="B18" s="23"/>
      <c r="C18" s="35">
        <f t="shared" si="7"/>
        <v>0</v>
      </c>
      <c r="D18" s="35"/>
      <c r="E18" s="35">
        <v>0</v>
      </c>
      <c r="F18" s="35"/>
      <c r="G18" s="35">
        <v>0</v>
      </c>
      <c r="H18" s="35"/>
      <c r="I18" s="35">
        <f t="shared" si="6"/>
        <v>0</v>
      </c>
      <c r="J18" s="35"/>
      <c r="K18" s="35">
        <v>0</v>
      </c>
      <c r="L18" s="35"/>
      <c r="M18" s="35"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5">
        <f t="shared" si="2"/>
        <v>0</v>
      </c>
      <c r="V18" s="35">
        <f aca="true" t="shared" si="9" ref="V18:V23">G18-M18-U18</f>
        <v>0</v>
      </c>
      <c r="W18" s="35"/>
      <c r="X18" s="23" t="s">
        <v>96</v>
      </c>
      <c r="Y18" s="35"/>
      <c r="Z18" s="35">
        <v>0</v>
      </c>
      <c r="AA18" s="35"/>
      <c r="AB18" s="35">
        <v>0</v>
      </c>
      <c r="AC18" s="35"/>
      <c r="AD18" s="35">
        <v>0</v>
      </c>
      <c r="AE18" s="35"/>
      <c r="AF18" s="35">
        <f t="shared" si="3"/>
        <v>0</v>
      </c>
      <c r="AG18" s="35"/>
      <c r="AH18" s="35">
        <v>0</v>
      </c>
      <c r="AI18" s="35"/>
      <c r="AJ18" s="35">
        <v>0</v>
      </c>
      <c r="AK18" s="35"/>
      <c r="AL18" s="35">
        <v>0</v>
      </c>
      <c r="AM18" s="35"/>
      <c r="AN18" s="35">
        <v>0</v>
      </c>
      <c r="AO18" s="35"/>
      <c r="AP18" s="35">
        <f t="shared" si="8"/>
        <v>0</v>
      </c>
      <c r="AQ18" s="35"/>
      <c r="AR18" s="35">
        <v>0</v>
      </c>
      <c r="AS18" s="35"/>
      <c r="AT18" s="35">
        <v>0</v>
      </c>
      <c r="AU18" s="35"/>
      <c r="AV18" s="35">
        <f t="shared" si="4"/>
        <v>0</v>
      </c>
      <c r="AW18" s="35"/>
      <c r="AX18" s="23" t="s">
        <v>96</v>
      </c>
      <c r="AY18" s="35"/>
      <c r="AZ18" s="35">
        <v>0</v>
      </c>
      <c r="BA18" s="35"/>
      <c r="BB18" s="35">
        <v>0</v>
      </c>
      <c r="BC18" s="35"/>
      <c r="BD18" s="35">
        <v>0</v>
      </c>
      <c r="BE18" s="35"/>
      <c r="BF18" s="35">
        <v>0</v>
      </c>
      <c r="BG18" s="35"/>
      <c r="BH18" s="35"/>
      <c r="BI18" s="35"/>
      <c r="BJ18" s="17">
        <f t="shared" si="5"/>
        <v>0</v>
      </c>
    </row>
    <row r="19" spans="1:62" s="36" customFormat="1" ht="12" hidden="1">
      <c r="A19" s="23" t="s">
        <v>238</v>
      </c>
      <c r="B19" s="23"/>
      <c r="C19" s="35">
        <f t="shared" si="7"/>
        <v>0</v>
      </c>
      <c r="D19" s="35"/>
      <c r="E19" s="35">
        <v>0</v>
      </c>
      <c r="F19" s="35"/>
      <c r="G19" s="35">
        <v>0</v>
      </c>
      <c r="H19" s="35"/>
      <c r="I19" s="35">
        <f t="shared" si="6"/>
        <v>0</v>
      </c>
      <c r="J19" s="35"/>
      <c r="K19" s="35"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  <c r="S19" s="35">
        <v>0</v>
      </c>
      <c r="T19" s="35"/>
      <c r="U19" s="35">
        <f t="shared" si="2"/>
        <v>0</v>
      </c>
      <c r="V19" s="35">
        <f t="shared" si="9"/>
        <v>0</v>
      </c>
      <c r="W19" s="35"/>
      <c r="X19" s="23" t="s">
        <v>238</v>
      </c>
      <c r="Y19" s="35"/>
      <c r="Z19" s="35">
        <v>0</v>
      </c>
      <c r="AA19" s="35"/>
      <c r="AB19" s="35">
        <v>0</v>
      </c>
      <c r="AC19" s="35"/>
      <c r="AD19" s="35">
        <v>0</v>
      </c>
      <c r="AE19" s="35"/>
      <c r="AF19" s="35">
        <f t="shared" si="3"/>
        <v>0</v>
      </c>
      <c r="AG19" s="35"/>
      <c r="AH19" s="35">
        <v>0</v>
      </c>
      <c r="AI19" s="35"/>
      <c r="AJ19" s="35">
        <v>0</v>
      </c>
      <c r="AK19" s="35"/>
      <c r="AL19" s="35">
        <v>0</v>
      </c>
      <c r="AM19" s="35"/>
      <c r="AN19" s="35">
        <v>0</v>
      </c>
      <c r="AO19" s="35"/>
      <c r="AP19" s="35">
        <f t="shared" si="8"/>
        <v>0</v>
      </c>
      <c r="AQ19" s="35"/>
      <c r="AR19" s="35">
        <v>0</v>
      </c>
      <c r="AS19" s="35"/>
      <c r="AT19" s="35">
        <v>0</v>
      </c>
      <c r="AU19" s="35"/>
      <c r="AV19" s="35">
        <f t="shared" si="4"/>
        <v>0</v>
      </c>
      <c r="AW19" s="35"/>
      <c r="AX19" s="23" t="s">
        <v>238</v>
      </c>
      <c r="AY19" s="35"/>
      <c r="AZ19" s="35">
        <v>0</v>
      </c>
      <c r="BA19" s="35"/>
      <c r="BB19" s="35">
        <v>0</v>
      </c>
      <c r="BC19" s="35"/>
      <c r="BD19" s="35">
        <v>0</v>
      </c>
      <c r="BE19" s="35"/>
      <c r="BF19" s="35">
        <v>0</v>
      </c>
      <c r="BG19" s="35"/>
      <c r="BH19" s="35"/>
      <c r="BI19" s="35"/>
      <c r="BJ19" s="17">
        <f t="shared" si="5"/>
        <v>0</v>
      </c>
    </row>
    <row r="20" spans="1:62" s="36" customFormat="1" ht="12" hidden="1">
      <c r="A20" s="23" t="s">
        <v>20</v>
      </c>
      <c r="B20" s="23"/>
      <c r="C20" s="35">
        <f t="shared" si="7"/>
        <v>0</v>
      </c>
      <c r="D20" s="35"/>
      <c r="E20" s="35">
        <v>0</v>
      </c>
      <c r="F20" s="35"/>
      <c r="G20" s="35">
        <v>0</v>
      </c>
      <c r="H20" s="35"/>
      <c r="I20" s="35">
        <f t="shared" si="6"/>
        <v>0</v>
      </c>
      <c r="J20" s="35"/>
      <c r="K20" s="35">
        <v>0</v>
      </c>
      <c r="L20" s="35"/>
      <c r="M20" s="35"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5">
        <f t="shared" si="2"/>
        <v>0</v>
      </c>
      <c r="V20" s="35"/>
      <c r="W20" s="35"/>
      <c r="X20" s="23" t="s">
        <v>20</v>
      </c>
      <c r="Y20" s="35"/>
      <c r="Z20" s="35">
        <v>0</v>
      </c>
      <c r="AA20" s="35"/>
      <c r="AB20" s="35">
        <v>0</v>
      </c>
      <c r="AC20" s="35"/>
      <c r="AD20" s="35">
        <v>0</v>
      </c>
      <c r="AE20" s="35"/>
      <c r="AF20" s="35">
        <f t="shared" si="3"/>
        <v>0</v>
      </c>
      <c r="AG20" s="35"/>
      <c r="AH20" s="35">
        <v>0</v>
      </c>
      <c r="AI20" s="35"/>
      <c r="AJ20" s="35">
        <v>0</v>
      </c>
      <c r="AK20" s="35"/>
      <c r="AL20" s="35">
        <v>0</v>
      </c>
      <c r="AM20" s="35"/>
      <c r="AN20" s="35">
        <v>0</v>
      </c>
      <c r="AO20" s="35"/>
      <c r="AP20" s="35">
        <f t="shared" si="8"/>
        <v>0</v>
      </c>
      <c r="AQ20" s="35"/>
      <c r="AR20" s="35"/>
      <c r="AS20" s="35"/>
      <c r="AT20" s="35"/>
      <c r="AU20" s="35"/>
      <c r="AV20" s="35">
        <f t="shared" si="4"/>
        <v>0</v>
      </c>
      <c r="AW20" s="35"/>
      <c r="AX20" s="23" t="s">
        <v>20</v>
      </c>
      <c r="AY20" s="35"/>
      <c r="AZ20" s="35">
        <v>0</v>
      </c>
      <c r="BA20" s="35"/>
      <c r="BB20" s="35">
        <v>0</v>
      </c>
      <c r="BC20" s="35"/>
      <c r="BD20" s="35">
        <v>0</v>
      </c>
      <c r="BE20" s="35"/>
      <c r="BF20" s="35">
        <v>0</v>
      </c>
      <c r="BG20" s="35"/>
      <c r="BH20" s="35"/>
      <c r="BI20" s="35"/>
      <c r="BJ20" s="17">
        <f t="shared" si="5"/>
        <v>0</v>
      </c>
    </row>
    <row r="21" spans="1:62" s="36" customFormat="1" ht="12" hidden="1">
      <c r="A21" s="23" t="s">
        <v>173</v>
      </c>
      <c r="B21" s="23"/>
      <c r="C21" s="35">
        <f t="shared" si="7"/>
        <v>0</v>
      </c>
      <c r="D21" s="35"/>
      <c r="E21" s="35">
        <v>0</v>
      </c>
      <c r="F21" s="35"/>
      <c r="G21" s="35">
        <v>0</v>
      </c>
      <c r="H21" s="35"/>
      <c r="I21" s="35">
        <f t="shared" si="6"/>
        <v>0</v>
      </c>
      <c r="J21" s="35"/>
      <c r="K21" s="35">
        <v>0</v>
      </c>
      <c r="L21" s="35"/>
      <c r="M21" s="35"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5">
        <f t="shared" si="2"/>
        <v>0</v>
      </c>
      <c r="V21" s="35">
        <f t="shared" si="9"/>
        <v>0</v>
      </c>
      <c r="W21" s="35"/>
      <c r="X21" s="23" t="s">
        <v>173</v>
      </c>
      <c r="Y21" s="35"/>
      <c r="Z21" s="35">
        <v>0</v>
      </c>
      <c r="AA21" s="35"/>
      <c r="AB21" s="35">
        <v>0</v>
      </c>
      <c r="AC21" s="35"/>
      <c r="AD21" s="35">
        <v>0</v>
      </c>
      <c r="AE21" s="35"/>
      <c r="AF21" s="35">
        <f t="shared" si="3"/>
        <v>0</v>
      </c>
      <c r="AG21" s="35"/>
      <c r="AH21" s="35">
        <v>0</v>
      </c>
      <c r="AI21" s="35"/>
      <c r="AJ21" s="35">
        <v>0</v>
      </c>
      <c r="AK21" s="35"/>
      <c r="AL21" s="35">
        <v>0</v>
      </c>
      <c r="AM21" s="35"/>
      <c r="AN21" s="35">
        <v>0</v>
      </c>
      <c r="AO21" s="35"/>
      <c r="AP21" s="35">
        <f t="shared" si="8"/>
        <v>0</v>
      </c>
      <c r="AQ21" s="35"/>
      <c r="AR21" s="35">
        <v>0</v>
      </c>
      <c r="AS21" s="35"/>
      <c r="AT21" s="35">
        <v>0</v>
      </c>
      <c r="AU21" s="35"/>
      <c r="AV21" s="35">
        <f t="shared" si="4"/>
        <v>0</v>
      </c>
      <c r="AW21" s="35"/>
      <c r="AX21" s="23" t="s">
        <v>173</v>
      </c>
      <c r="AY21" s="35"/>
      <c r="AZ21" s="35">
        <v>0</v>
      </c>
      <c r="BA21" s="35"/>
      <c r="BB21" s="35">
        <v>0</v>
      </c>
      <c r="BC21" s="35"/>
      <c r="BD21" s="35">
        <v>0</v>
      </c>
      <c r="BE21" s="35"/>
      <c r="BF21" s="35">
        <v>0</v>
      </c>
      <c r="BG21" s="35"/>
      <c r="BH21" s="35"/>
      <c r="BI21" s="35"/>
      <c r="BJ21" s="17">
        <f t="shared" si="5"/>
        <v>0</v>
      </c>
    </row>
    <row r="22" spans="1:62" s="36" customFormat="1" ht="12">
      <c r="A22" s="23" t="s">
        <v>21</v>
      </c>
      <c r="B22" s="23"/>
      <c r="C22" s="35">
        <f t="shared" si="7"/>
        <v>1672572</v>
      </c>
      <c r="D22" s="35"/>
      <c r="E22" s="35">
        <v>6435357</v>
      </c>
      <c r="F22" s="35"/>
      <c r="G22" s="35">
        <v>8107929</v>
      </c>
      <c r="H22" s="35"/>
      <c r="I22" s="35">
        <f t="shared" si="6"/>
        <v>425205</v>
      </c>
      <c r="J22" s="35"/>
      <c r="K22" s="35">
        <v>2106326</v>
      </c>
      <c r="L22" s="35"/>
      <c r="M22" s="35">
        <v>2531531</v>
      </c>
      <c r="N22" s="35"/>
      <c r="O22" s="35">
        <v>4038145</v>
      </c>
      <c r="P22" s="35"/>
      <c r="Q22" s="35">
        <v>0</v>
      </c>
      <c r="R22" s="35"/>
      <c r="S22" s="35">
        <v>1538253</v>
      </c>
      <c r="T22" s="35"/>
      <c r="U22" s="35">
        <f t="shared" si="2"/>
        <v>5576398</v>
      </c>
      <c r="V22" s="35">
        <f t="shared" si="9"/>
        <v>0</v>
      </c>
      <c r="W22" s="35"/>
      <c r="X22" s="23" t="s">
        <v>21</v>
      </c>
      <c r="Y22" s="35"/>
      <c r="Z22" s="35">
        <v>2434357</v>
      </c>
      <c r="AA22" s="35"/>
      <c r="AB22" s="35">
        <f>2059536-170156</f>
        <v>1889380</v>
      </c>
      <c r="AC22" s="35"/>
      <c r="AD22" s="35">
        <v>170156</v>
      </c>
      <c r="AE22" s="35"/>
      <c r="AF22" s="35">
        <f t="shared" si="3"/>
        <v>374821</v>
      </c>
      <c r="AG22" s="35"/>
      <c r="AH22" s="35">
        <v>-58515</v>
      </c>
      <c r="AI22" s="35"/>
      <c r="AJ22" s="35">
        <v>0</v>
      </c>
      <c r="AK22" s="35"/>
      <c r="AL22" s="35">
        <v>0</v>
      </c>
      <c r="AM22" s="35"/>
      <c r="AN22" s="35">
        <v>600800</v>
      </c>
      <c r="AO22" s="35"/>
      <c r="AP22" s="35">
        <f t="shared" si="8"/>
        <v>917106</v>
      </c>
      <c r="AQ22" s="35"/>
      <c r="AR22" s="35">
        <v>0</v>
      </c>
      <c r="AS22" s="35"/>
      <c r="AT22" s="35">
        <v>0</v>
      </c>
      <c r="AU22" s="35"/>
      <c r="AV22" s="35">
        <f t="shared" si="4"/>
        <v>1247367</v>
      </c>
      <c r="AW22" s="35"/>
      <c r="AX22" s="23" t="s">
        <v>21</v>
      </c>
      <c r="AY22" s="35"/>
      <c r="AZ22" s="35">
        <f>1590000+31401</f>
        <v>1621401</v>
      </c>
      <c r="BA22" s="35"/>
      <c r="BB22" s="35">
        <v>0</v>
      </c>
      <c r="BC22" s="35"/>
      <c r="BD22" s="35">
        <v>419200</v>
      </c>
      <c r="BE22" s="35"/>
      <c r="BF22" s="35">
        <f>65725</f>
        <v>65725</v>
      </c>
      <c r="BG22" s="35"/>
      <c r="BH22" s="35"/>
      <c r="BI22" s="35"/>
      <c r="BJ22" s="17">
        <f t="shared" si="5"/>
        <v>2106326</v>
      </c>
    </row>
    <row r="23" spans="1:62" s="36" customFormat="1" ht="12">
      <c r="A23" s="23" t="s">
        <v>181</v>
      </c>
      <c r="B23" s="23"/>
      <c r="C23" s="35">
        <f t="shared" si="7"/>
        <v>15665305</v>
      </c>
      <c r="D23" s="35"/>
      <c r="E23" s="35">
        <v>120262186</v>
      </c>
      <c r="F23" s="35"/>
      <c r="G23" s="35">
        <v>135927491</v>
      </c>
      <c r="H23" s="35"/>
      <c r="I23" s="35">
        <f t="shared" si="6"/>
        <v>4153448</v>
      </c>
      <c r="J23" s="35"/>
      <c r="K23" s="35">
        <v>20673665</v>
      </c>
      <c r="L23" s="35"/>
      <c r="M23" s="35">
        <v>24827113</v>
      </c>
      <c r="N23" s="35"/>
      <c r="O23" s="35">
        <v>92301776</v>
      </c>
      <c r="P23" s="35"/>
      <c r="Q23" s="35">
        <v>3087516</v>
      </c>
      <c r="R23" s="35"/>
      <c r="S23" s="35">
        <v>15711086</v>
      </c>
      <c r="T23" s="35"/>
      <c r="U23" s="35">
        <f t="shared" si="2"/>
        <v>111100378</v>
      </c>
      <c r="V23" s="35">
        <f t="shared" si="9"/>
        <v>0</v>
      </c>
      <c r="W23" s="35"/>
      <c r="X23" s="23" t="s">
        <v>181</v>
      </c>
      <c r="Y23" s="35"/>
      <c r="Z23" s="35">
        <v>13563957</v>
      </c>
      <c r="AA23" s="35"/>
      <c r="AB23" s="35">
        <f>12044596-4073612</f>
        <v>7970984</v>
      </c>
      <c r="AC23" s="35"/>
      <c r="AD23" s="35">
        <v>4073612</v>
      </c>
      <c r="AE23" s="35"/>
      <c r="AF23" s="35">
        <f t="shared" si="3"/>
        <v>1519361</v>
      </c>
      <c r="AG23" s="35"/>
      <c r="AH23" s="35">
        <v>-1192614</v>
      </c>
      <c r="AI23" s="35"/>
      <c r="AJ23" s="35">
        <v>0</v>
      </c>
      <c r="AK23" s="35"/>
      <c r="AL23" s="35">
        <v>0</v>
      </c>
      <c r="AM23" s="35"/>
      <c r="AN23" s="35">
        <v>1595504</v>
      </c>
      <c r="AO23" s="35"/>
      <c r="AP23" s="35">
        <f t="shared" si="8"/>
        <v>1922251</v>
      </c>
      <c r="AQ23" s="35"/>
      <c r="AR23" s="35">
        <v>0</v>
      </c>
      <c r="AS23" s="35"/>
      <c r="AT23" s="35">
        <v>0</v>
      </c>
      <c r="AU23" s="35"/>
      <c r="AV23" s="35">
        <f t="shared" si="4"/>
        <v>11511857</v>
      </c>
      <c r="AW23" s="35"/>
      <c r="AX23" s="23" t="s">
        <v>181</v>
      </c>
      <c r="AY23" s="35"/>
      <c r="AZ23" s="35">
        <v>0</v>
      </c>
      <c r="BA23" s="35"/>
      <c r="BB23" s="35">
        <v>19960000</v>
      </c>
      <c r="BC23" s="35"/>
      <c r="BD23" s="35">
        <v>713665</v>
      </c>
      <c r="BE23" s="35"/>
      <c r="BF23" s="35"/>
      <c r="BG23" s="35"/>
      <c r="BH23" s="35"/>
      <c r="BI23" s="35"/>
      <c r="BJ23" s="17">
        <f t="shared" si="5"/>
        <v>20673665</v>
      </c>
    </row>
    <row r="24" spans="1:62" s="36" customFormat="1" ht="12" hidden="1">
      <c r="A24" s="23" t="s">
        <v>22</v>
      </c>
      <c r="B24" s="23"/>
      <c r="C24" s="35">
        <f t="shared" si="7"/>
        <v>0</v>
      </c>
      <c r="D24" s="35"/>
      <c r="E24" s="35">
        <f>0</f>
        <v>0</v>
      </c>
      <c r="F24" s="35"/>
      <c r="G24" s="35">
        <v>0</v>
      </c>
      <c r="H24" s="35"/>
      <c r="I24" s="35">
        <f aca="true" t="shared" si="10" ref="I24:I87">+M24-K24</f>
        <v>0</v>
      </c>
      <c r="J24" s="35"/>
      <c r="K24" s="35">
        <v>0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f t="shared" si="2"/>
        <v>0</v>
      </c>
      <c r="V24" s="35">
        <f aca="true" t="shared" si="11" ref="V24:V87">G24-M24-U24</f>
        <v>0</v>
      </c>
      <c r="W24" s="35"/>
      <c r="X24" s="23" t="s">
        <v>22</v>
      </c>
      <c r="Y24" s="35"/>
      <c r="Z24" s="35">
        <v>0</v>
      </c>
      <c r="AA24" s="35"/>
      <c r="AB24" s="35">
        <v>0</v>
      </c>
      <c r="AC24" s="35"/>
      <c r="AD24" s="35">
        <v>0</v>
      </c>
      <c r="AE24" s="35"/>
      <c r="AF24" s="35">
        <f t="shared" si="3"/>
        <v>0</v>
      </c>
      <c r="AG24" s="35"/>
      <c r="AH24" s="35">
        <v>0</v>
      </c>
      <c r="AI24" s="35"/>
      <c r="AJ24" s="35">
        <v>0</v>
      </c>
      <c r="AK24" s="35"/>
      <c r="AL24" s="35">
        <v>0</v>
      </c>
      <c r="AM24" s="35"/>
      <c r="AN24" s="35">
        <v>0</v>
      </c>
      <c r="AO24" s="35"/>
      <c r="AP24" s="35">
        <f t="shared" si="8"/>
        <v>0</v>
      </c>
      <c r="AQ24" s="35"/>
      <c r="AR24" s="35">
        <v>0</v>
      </c>
      <c r="AS24" s="35"/>
      <c r="AT24" s="35">
        <v>0</v>
      </c>
      <c r="AU24" s="35"/>
      <c r="AV24" s="35">
        <f t="shared" si="4"/>
        <v>0</v>
      </c>
      <c r="AW24" s="35"/>
      <c r="AX24" s="23" t="s">
        <v>22</v>
      </c>
      <c r="AY24" s="35"/>
      <c r="AZ24" s="35">
        <v>0</v>
      </c>
      <c r="BA24" s="35"/>
      <c r="BB24" s="35">
        <v>0</v>
      </c>
      <c r="BC24" s="35"/>
      <c r="BD24" s="35">
        <v>0</v>
      </c>
      <c r="BE24" s="35"/>
      <c r="BF24" s="35">
        <v>0</v>
      </c>
      <c r="BG24" s="35"/>
      <c r="BH24" s="35"/>
      <c r="BI24" s="35"/>
      <c r="BJ24" s="17">
        <f t="shared" si="5"/>
        <v>0</v>
      </c>
    </row>
    <row r="25" spans="1:62" s="36" customFormat="1" ht="12" hidden="1">
      <c r="A25" s="23" t="s">
        <v>23</v>
      </c>
      <c r="B25" s="23"/>
      <c r="C25" s="35">
        <f t="shared" si="7"/>
        <v>0</v>
      </c>
      <c r="D25" s="35"/>
      <c r="E25" s="35">
        <v>0</v>
      </c>
      <c r="F25" s="35"/>
      <c r="G25" s="35">
        <v>0</v>
      </c>
      <c r="H25" s="35"/>
      <c r="I25" s="35">
        <f t="shared" si="10"/>
        <v>0</v>
      </c>
      <c r="J25" s="35"/>
      <c r="K25" s="35">
        <v>0</v>
      </c>
      <c r="L25" s="35"/>
      <c r="M25" s="35"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5">
        <f t="shared" si="2"/>
        <v>0</v>
      </c>
      <c r="V25" s="35">
        <f t="shared" si="11"/>
        <v>0</v>
      </c>
      <c r="W25" s="35"/>
      <c r="X25" s="23" t="s">
        <v>23</v>
      </c>
      <c r="Y25" s="35"/>
      <c r="Z25" s="35">
        <v>0</v>
      </c>
      <c r="AA25" s="35"/>
      <c r="AB25" s="35">
        <v>0</v>
      </c>
      <c r="AC25" s="35"/>
      <c r="AD25" s="35">
        <v>0</v>
      </c>
      <c r="AE25" s="35"/>
      <c r="AF25" s="35">
        <f t="shared" si="3"/>
        <v>0</v>
      </c>
      <c r="AG25" s="35"/>
      <c r="AH25" s="35">
        <v>0</v>
      </c>
      <c r="AI25" s="35"/>
      <c r="AJ25" s="35">
        <v>0</v>
      </c>
      <c r="AK25" s="35"/>
      <c r="AL25" s="35">
        <v>0</v>
      </c>
      <c r="AM25" s="35"/>
      <c r="AN25" s="35">
        <v>0</v>
      </c>
      <c r="AO25" s="35"/>
      <c r="AP25" s="35">
        <f t="shared" si="8"/>
        <v>0</v>
      </c>
      <c r="AQ25" s="35"/>
      <c r="AR25" s="35">
        <v>0</v>
      </c>
      <c r="AS25" s="35"/>
      <c r="AT25" s="35">
        <v>0</v>
      </c>
      <c r="AU25" s="35"/>
      <c r="AV25" s="35">
        <f t="shared" si="4"/>
        <v>0</v>
      </c>
      <c r="AW25" s="35"/>
      <c r="AX25" s="23" t="s">
        <v>23</v>
      </c>
      <c r="AY25" s="35"/>
      <c r="AZ25" s="35">
        <v>0</v>
      </c>
      <c r="BA25" s="35"/>
      <c r="BB25" s="35">
        <v>0</v>
      </c>
      <c r="BC25" s="35"/>
      <c r="BD25" s="35">
        <v>0</v>
      </c>
      <c r="BE25" s="35"/>
      <c r="BF25" s="35">
        <v>0</v>
      </c>
      <c r="BG25" s="35"/>
      <c r="BH25" s="35"/>
      <c r="BI25" s="35"/>
      <c r="BJ25" s="17">
        <f t="shared" si="5"/>
        <v>0</v>
      </c>
    </row>
    <row r="26" spans="1:62" s="36" customFormat="1" ht="12" hidden="1">
      <c r="A26" s="23" t="s">
        <v>24</v>
      </c>
      <c r="B26" s="23"/>
      <c r="C26" s="35">
        <f t="shared" si="7"/>
        <v>0</v>
      </c>
      <c r="D26" s="35"/>
      <c r="E26" s="35">
        <v>0</v>
      </c>
      <c r="F26" s="35"/>
      <c r="G26" s="35">
        <v>0</v>
      </c>
      <c r="H26" s="35"/>
      <c r="I26" s="35">
        <f t="shared" si="10"/>
        <v>0</v>
      </c>
      <c r="J26" s="35"/>
      <c r="K26" s="35">
        <v>0</v>
      </c>
      <c r="L26" s="35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f t="shared" si="2"/>
        <v>0</v>
      </c>
      <c r="V26" s="35">
        <f t="shared" si="11"/>
        <v>0</v>
      </c>
      <c r="W26" s="35"/>
      <c r="X26" s="23" t="s">
        <v>24</v>
      </c>
      <c r="Y26" s="35"/>
      <c r="Z26" s="35">
        <v>0</v>
      </c>
      <c r="AA26" s="35"/>
      <c r="AB26" s="35">
        <v>0</v>
      </c>
      <c r="AC26" s="35"/>
      <c r="AD26" s="35">
        <v>0</v>
      </c>
      <c r="AE26" s="35"/>
      <c r="AF26" s="35">
        <f t="shared" si="3"/>
        <v>0</v>
      </c>
      <c r="AG26" s="35"/>
      <c r="AH26" s="35">
        <v>0</v>
      </c>
      <c r="AI26" s="35"/>
      <c r="AJ26" s="35">
        <v>0</v>
      </c>
      <c r="AK26" s="35"/>
      <c r="AL26" s="35">
        <v>0</v>
      </c>
      <c r="AM26" s="35"/>
      <c r="AN26" s="35">
        <v>0</v>
      </c>
      <c r="AO26" s="35"/>
      <c r="AP26" s="35">
        <f t="shared" si="8"/>
        <v>0</v>
      </c>
      <c r="AQ26" s="35"/>
      <c r="AR26" s="35">
        <v>0</v>
      </c>
      <c r="AS26" s="35"/>
      <c r="AT26" s="35">
        <v>0</v>
      </c>
      <c r="AU26" s="35"/>
      <c r="AV26" s="35">
        <f t="shared" si="4"/>
        <v>0</v>
      </c>
      <c r="AW26" s="35"/>
      <c r="AX26" s="23" t="s">
        <v>24</v>
      </c>
      <c r="AY26" s="35"/>
      <c r="AZ26" s="35">
        <v>0</v>
      </c>
      <c r="BA26" s="35"/>
      <c r="BB26" s="35">
        <v>0</v>
      </c>
      <c r="BC26" s="35"/>
      <c r="BD26" s="35">
        <v>0</v>
      </c>
      <c r="BE26" s="35"/>
      <c r="BF26" s="35">
        <v>0</v>
      </c>
      <c r="BG26" s="35"/>
      <c r="BH26" s="35"/>
      <c r="BI26" s="35"/>
      <c r="BJ26" s="17">
        <f t="shared" si="5"/>
        <v>0</v>
      </c>
    </row>
    <row r="27" spans="1:62" s="36" customFormat="1" ht="12" hidden="1">
      <c r="A27" s="23" t="s">
        <v>243</v>
      </c>
      <c r="B27" s="23"/>
      <c r="C27" s="35">
        <f t="shared" si="7"/>
        <v>0</v>
      </c>
      <c r="D27" s="35"/>
      <c r="E27" s="35">
        <v>0</v>
      </c>
      <c r="F27" s="35"/>
      <c r="G27" s="35">
        <v>0</v>
      </c>
      <c r="H27" s="35"/>
      <c r="I27" s="35">
        <f t="shared" si="10"/>
        <v>0</v>
      </c>
      <c r="J27" s="35"/>
      <c r="K27" s="35">
        <v>0</v>
      </c>
      <c r="L27" s="35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5">
        <f t="shared" si="2"/>
        <v>0</v>
      </c>
      <c r="V27" s="35">
        <f t="shared" si="11"/>
        <v>0</v>
      </c>
      <c r="W27" s="35"/>
      <c r="X27" s="23" t="s">
        <v>179</v>
      </c>
      <c r="Y27" s="35"/>
      <c r="Z27" s="35">
        <v>0</v>
      </c>
      <c r="AA27" s="35"/>
      <c r="AB27" s="35">
        <v>0</v>
      </c>
      <c r="AC27" s="35"/>
      <c r="AD27" s="35">
        <v>0</v>
      </c>
      <c r="AE27" s="35"/>
      <c r="AF27" s="35">
        <f t="shared" si="3"/>
        <v>0</v>
      </c>
      <c r="AG27" s="35"/>
      <c r="AH27" s="35">
        <v>0</v>
      </c>
      <c r="AI27" s="35"/>
      <c r="AJ27" s="35">
        <v>0</v>
      </c>
      <c r="AK27" s="35"/>
      <c r="AL27" s="35">
        <v>0</v>
      </c>
      <c r="AM27" s="35"/>
      <c r="AN27" s="35">
        <v>0</v>
      </c>
      <c r="AO27" s="35"/>
      <c r="AP27" s="35">
        <f t="shared" si="8"/>
        <v>0</v>
      </c>
      <c r="AQ27" s="35"/>
      <c r="AR27" s="35">
        <v>0</v>
      </c>
      <c r="AS27" s="35"/>
      <c r="AT27" s="35">
        <v>0</v>
      </c>
      <c r="AU27" s="35"/>
      <c r="AV27" s="35">
        <f t="shared" si="4"/>
        <v>0</v>
      </c>
      <c r="AW27" s="35"/>
      <c r="AX27" s="23" t="s">
        <v>179</v>
      </c>
      <c r="AY27" s="35"/>
      <c r="AZ27" s="35">
        <v>0</v>
      </c>
      <c r="BA27" s="35"/>
      <c r="BB27" s="35">
        <v>0</v>
      </c>
      <c r="BC27" s="35"/>
      <c r="BD27" s="35">
        <v>0</v>
      </c>
      <c r="BE27" s="35"/>
      <c r="BF27" s="35">
        <v>0</v>
      </c>
      <c r="BG27" s="35"/>
      <c r="BH27" s="35"/>
      <c r="BI27" s="35"/>
      <c r="BJ27" s="17">
        <f t="shared" si="5"/>
        <v>0</v>
      </c>
    </row>
    <row r="28" spans="1:62" s="36" customFormat="1" ht="12" hidden="1">
      <c r="A28" s="23" t="s">
        <v>25</v>
      </c>
      <c r="B28" s="23"/>
      <c r="C28" s="35">
        <f t="shared" si="7"/>
        <v>0</v>
      </c>
      <c r="D28" s="35"/>
      <c r="E28" s="35">
        <v>0</v>
      </c>
      <c r="F28" s="35"/>
      <c r="G28" s="35">
        <v>0</v>
      </c>
      <c r="H28" s="35"/>
      <c r="I28" s="35">
        <f t="shared" si="10"/>
        <v>0</v>
      </c>
      <c r="J28" s="35"/>
      <c r="K28" s="35">
        <v>0</v>
      </c>
      <c r="L28" s="35"/>
      <c r="M28" s="35"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5">
        <f t="shared" si="2"/>
        <v>0</v>
      </c>
      <c r="V28" s="35">
        <f t="shared" si="11"/>
        <v>0</v>
      </c>
      <c r="W28" s="35"/>
      <c r="X28" s="23" t="s">
        <v>25</v>
      </c>
      <c r="Y28" s="35"/>
      <c r="Z28" s="35">
        <v>0</v>
      </c>
      <c r="AA28" s="35"/>
      <c r="AB28" s="35">
        <v>0</v>
      </c>
      <c r="AC28" s="35"/>
      <c r="AD28" s="35">
        <v>0</v>
      </c>
      <c r="AE28" s="35"/>
      <c r="AF28" s="35">
        <f t="shared" si="3"/>
        <v>0</v>
      </c>
      <c r="AG28" s="35"/>
      <c r="AH28" s="35">
        <v>0</v>
      </c>
      <c r="AI28" s="35"/>
      <c r="AJ28" s="35">
        <v>0</v>
      </c>
      <c r="AK28" s="35"/>
      <c r="AL28" s="35">
        <v>0</v>
      </c>
      <c r="AM28" s="35"/>
      <c r="AN28" s="35">
        <v>0</v>
      </c>
      <c r="AO28" s="35"/>
      <c r="AP28" s="35">
        <f t="shared" si="8"/>
        <v>0</v>
      </c>
      <c r="AQ28" s="35"/>
      <c r="AR28" s="35">
        <v>0</v>
      </c>
      <c r="AS28" s="35"/>
      <c r="AT28" s="35">
        <v>0</v>
      </c>
      <c r="AU28" s="35"/>
      <c r="AV28" s="35">
        <f t="shared" si="4"/>
        <v>0</v>
      </c>
      <c r="AW28" s="35"/>
      <c r="AX28" s="23" t="s">
        <v>25</v>
      </c>
      <c r="AY28" s="35"/>
      <c r="AZ28" s="35">
        <v>0</v>
      </c>
      <c r="BA28" s="35"/>
      <c r="BB28" s="35">
        <v>0</v>
      </c>
      <c r="BC28" s="35"/>
      <c r="BD28" s="35">
        <v>0</v>
      </c>
      <c r="BE28" s="35"/>
      <c r="BF28" s="35">
        <v>0</v>
      </c>
      <c r="BG28" s="35"/>
      <c r="BH28" s="35"/>
      <c r="BI28" s="35"/>
      <c r="BJ28" s="17">
        <f t="shared" si="5"/>
        <v>0</v>
      </c>
    </row>
    <row r="29" spans="1:62" s="36" customFormat="1" ht="12" hidden="1">
      <c r="A29" s="23" t="s">
        <v>26</v>
      </c>
      <c r="B29" s="23"/>
      <c r="C29" s="35">
        <f t="shared" si="7"/>
        <v>0</v>
      </c>
      <c r="D29" s="35"/>
      <c r="E29" s="35">
        <v>0</v>
      </c>
      <c r="F29" s="35"/>
      <c r="G29" s="35">
        <v>0</v>
      </c>
      <c r="H29" s="35"/>
      <c r="I29" s="35">
        <f t="shared" si="10"/>
        <v>0</v>
      </c>
      <c r="J29" s="35"/>
      <c r="K29" s="35">
        <v>0</v>
      </c>
      <c r="L29" s="35"/>
      <c r="M29" s="35">
        <v>0</v>
      </c>
      <c r="N29" s="35"/>
      <c r="O29" s="35">
        <v>0</v>
      </c>
      <c r="P29" s="35"/>
      <c r="Q29" s="35">
        <v>0</v>
      </c>
      <c r="R29" s="35"/>
      <c r="S29" s="35">
        <v>0</v>
      </c>
      <c r="T29" s="35"/>
      <c r="U29" s="35">
        <f t="shared" si="2"/>
        <v>0</v>
      </c>
      <c r="V29" s="35">
        <f t="shared" si="11"/>
        <v>0</v>
      </c>
      <c r="W29" s="35"/>
      <c r="X29" s="23" t="s">
        <v>26</v>
      </c>
      <c r="Y29" s="35"/>
      <c r="Z29" s="35">
        <v>0</v>
      </c>
      <c r="AA29" s="35"/>
      <c r="AB29" s="35">
        <v>0</v>
      </c>
      <c r="AC29" s="35"/>
      <c r="AD29" s="35">
        <v>0</v>
      </c>
      <c r="AE29" s="35"/>
      <c r="AF29" s="35">
        <f t="shared" si="3"/>
        <v>0</v>
      </c>
      <c r="AG29" s="35"/>
      <c r="AH29" s="35">
        <v>0</v>
      </c>
      <c r="AI29" s="35"/>
      <c r="AJ29" s="35">
        <v>0</v>
      </c>
      <c r="AK29" s="35"/>
      <c r="AL29" s="35">
        <v>0</v>
      </c>
      <c r="AM29" s="35"/>
      <c r="AN29" s="35">
        <v>0</v>
      </c>
      <c r="AO29" s="35"/>
      <c r="AP29" s="35">
        <f t="shared" si="8"/>
        <v>0</v>
      </c>
      <c r="AQ29" s="35"/>
      <c r="AR29" s="35">
        <v>0</v>
      </c>
      <c r="AS29" s="35"/>
      <c r="AT29" s="35">
        <v>0</v>
      </c>
      <c r="AU29" s="35"/>
      <c r="AV29" s="35">
        <f t="shared" si="4"/>
        <v>0</v>
      </c>
      <c r="AW29" s="35"/>
      <c r="AX29" s="23" t="s">
        <v>26</v>
      </c>
      <c r="AY29" s="35"/>
      <c r="AZ29" s="35">
        <v>0</v>
      </c>
      <c r="BA29" s="35"/>
      <c r="BB29" s="35">
        <v>0</v>
      </c>
      <c r="BC29" s="35"/>
      <c r="BD29" s="35">
        <v>0</v>
      </c>
      <c r="BE29" s="35"/>
      <c r="BF29" s="35">
        <v>0</v>
      </c>
      <c r="BG29" s="35"/>
      <c r="BH29" s="35"/>
      <c r="BI29" s="35"/>
      <c r="BJ29" s="17">
        <f t="shared" si="5"/>
        <v>0</v>
      </c>
    </row>
    <row r="30" spans="1:62" s="36" customFormat="1" ht="12" hidden="1">
      <c r="A30" s="23" t="s">
        <v>27</v>
      </c>
      <c r="B30" s="23"/>
      <c r="C30" s="35">
        <f t="shared" si="7"/>
        <v>0</v>
      </c>
      <c r="D30" s="35"/>
      <c r="E30" s="35">
        <v>0</v>
      </c>
      <c r="F30" s="35"/>
      <c r="G30" s="35">
        <v>0</v>
      </c>
      <c r="H30" s="35"/>
      <c r="I30" s="35">
        <f t="shared" si="10"/>
        <v>0</v>
      </c>
      <c r="J30" s="35"/>
      <c r="K30" s="35">
        <v>0</v>
      </c>
      <c r="L30" s="35"/>
      <c r="M30" s="35"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5">
        <f t="shared" si="2"/>
        <v>0</v>
      </c>
      <c r="V30" s="35">
        <f t="shared" si="11"/>
        <v>0</v>
      </c>
      <c r="W30" s="35"/>
      <c r="X30" s="23" t="s">
        <v>27</v>
      </c>
      <c r="Y30" s="35"/>
      <c r="Z30" s="35">
        <v>0</v>
      </c>
      <c r="AA30" s="35"/>
      <c r="AB30" s="35">
        <v>0</v>
      </c>
      <c r="AC30" s="35"/>
      <c r="AD30" s="35">
        <v>0</v>
      </c>
      <c r="AE30" s="35"/>
      <c r="AF30" s="35">
        <f t="shared" si="3"/>
        <v>0</v>
      </c>
      <c r="AG30" s="35"/>
      <c r="AH30" s="35">
        <v>0</v>
      </c>
      <c r="AI30" s="35"/>
      <c r="AJ30" s="35">
        <v>0</v>
      </c>
      <c r="AK30" s="35"/>
      <c r="AL30" s="35">
        <v>0</v>
      </c>
      <c r="AM30" s="35"/>
      <c r="AN30" s="35">
        <v>0</v>
      </c>
      <c r="AO30" s="35"/>
      <c r="AP30" s="35">
        <f t="shared" si="8"/>
        <v>0</v>
      </c>
      <c r="AQ30" s="35"/>
      <c r="AR30" s="35">
        <v>0</v>
      </c>
      <c r="AS30" s="35"/>
      <c r="AT30" s="35">
        <v>0</v>
      </c>
      <c r="AU30" s="35"/>
      <c r="AV30" s="35">
        <f t="shared" si="4"/>
        <v>0</v>
      </c>
      <c r="AW30" s="35"/>
      <c r="AX30" s="23" t="s">
        <v>27</v>
      </c>
      <c r="AY30" s="35"/>
      <c r="AZ30" s="35">
        <v>0</v>
      </c>
      <c r="BA30" s="35"/>
      <c r="BB30" s="35">
        <v>0</v>
      </c>
      <c r="BC30" s="35"/>
      <c r="BD30" s="35">
        <v>0</v>
      </c>
      <c r="BE30" s="35"/>
      <c r="BF30" s="35">
        <v>0</v>
      </c>
      <c r="BG30" s="35"/>
      <c r="BH30" s="35"/>
      <c r="BI30" s="35"/>
      <c r="BJ30" s="17">
        <f t="shared" si="5"/>
        <v>0</v>
      </c>
    </row>
    <row r="31" spans="1:62" s="36" customFormat="1" ht="12" hidden="1">
      <c r="A31" s="23" t="s">
        <v>28</v>
      </c>
      <c r="B31" s="23"/>
      <c r="C31" s="35">
        <f t="shared" si="7"/>
        <v>0</v>
      </c>
      <c r="D31" s="35"/>
      <c r="E31" s="35">
        <v>0</v>
      </c>
      <c r="F31" s="35"/>
      <c r="G31" s="35">
        <v>0</v>
      </c>
      <c r="H31" s="35"/>
      <c r="I31" s="35">
        <f t="shared" si="10"/>
        <v>0</v>
      </c>
      <c r="J31" s="35"/>
      <c r="K31" s="35">
        <v>0</v>
      </c>
      <c r="L31" s="35"/>
      <c r="M31" s="35">
        <v>0</v>
      </c>
      <c r="N31" s="35"/>
      <c r="O31" s="35">
        <v>0</v>
      </c>
      <c r="P31" s="35"/>
      <c r="Q31" s="35">
        <v>0</v>
      </c>
      <c r="R31" s="35"/>
      <c r="S31" s="35">
        <v>0</v>
      </c>
      <c r="T31" s="35"/>
      <c r="U31" s="35">
        <f t="shared" si="2"/>
        <v>0</v>
      </c>
      <c r="V31" s="35">
        <f t="shared" si="11"/>
        <v>0</v>
      </c>
      <c r="W31" s="35"/>
      <c r="X31" s="23" t="s">
        <v>28</v>
      </c>
      <c r="Y31" s="35"/>
      <c r="Z31" s="35">
        <v>0</v>
      </c>
      <c r="AA31" s="35"/>
      <c r="AB31" s="35">
        <v>0</v>
      </c>
      <c r="AC31" s="35"/>
      <c r="AD31" s="35">
        <v>0</v>
      </c>
      <c r="AE31" s="35"/>
      <c r="AF31" s="35">
        <f t="shared" si="3"/>
        <v>0</v>
      </c>
      <c r="AG31" s="35"/>
      <c r="AH31" s="35">
        <v>0</v>
      </c>
      <c r="AI31" s="35"/>
      <c r="AJ31" s="35">
        <v>0</v>
      </c>
      <c r="AK31" s="35"/>
      <c r="AL31" s="35">
        <v>0</v>
      </c>
      <c r="AM31" s="35"/>
      <c r="AN31" s="35">
        <v>0</v>
      </c>
      <c r="AO31" s="35"/>
      <c r="AP31" s="35">
        <f t="shared" si="8"/>
        <v>0</v>
      </c>
      <c r="AQ31" s="35"/>
      <c r="AR31" s="35">
        <v>0</v>
      </c>
      <c r="AS31" s="35"/>
      <c r="AT31" s="35">
        <v>0</v>
      </c>
      <c r="AU31" s="35"/>
      <c r="AV31" s="35">
        <f t="shared" si="4"/>
        <v>0</v>
      </c>
      <c r="AW31" s="35"/>
      <c r="AX31" s="23" t="s">
        <v>28</v>
      </c>
      <c r="AY31" s="35"/>
      <c r="AZ31" s="35">
        <v>0</v>
      </c>
      <c r="BA31" s="35"/>
      <c r="BB31" s="35">
        <v>0</v>
      </c>
      <c r="BC31" s="35"/>
      <c r="BD31" s="35">
        <v>0</v>
      </c>
      <c r="BE31" s="35"/>
      <c r="BF31" s="35">
        <v>0</v>
      </c>
      <c r="BG31" s="35"/>
      <c r="BH31" s="35"/>
      <c r="BI31" s="35"/>
      <c r="BJ31" s="17">
        <f t="shared" si="5"/>
        <v>0</v>
      </c>
    </row>
    <row r="32" spans="1:62" s="36" customFormat="1" ht="12">
      <c r="A32" s="23" t="s">
        <v>29</v>
      </c>
      <c r="B32" s="23"/>
      <c r="C32" s="35">
        <f t="shared" si="7"/>
        <v>2725198</v>
      </c>
      <c r="D32" s="35"/>
      <c r="E32" s="35">
        <v>44751125</v>
      </c>
      <c r="F32" s="35"/>
      <c r="G32" s="35">
        <v>47476323</v>
      </c>
      <c r="H32" s="35"/>
      <c r="I32" s="35">
        <f t="shared" si="10"/>
        <v>1732711</v>
      </c>
      <c r="J32" s="35"/>
      <c r="K32" s="35">
        <v>28087589</v>
      </c>
      <c r="L32" s="35"/>
      <c r="M32" s="35">
        <v>29820300</v>
      </c>
      <c r="N32" s="35"/>
      <c r="O32" s="35">
        <v>15399683</v>
      </c>
      <c r="P32" s="35"/>
      <c r="Q32" s="35">
        <v>0</v>
      </c>
      <c r="R32" s="35"/>
      <c r="S32" s="35">
        <v>2256340</v>
      </c>
      <c r="T32" s="35"/>
      <c r="U32" s="35">
        <f t="shared" si="2"/>
        <v>17656023</v>
      </c>
      <c r="V32" s="35">
        <f t="shared" si="11"/>
        <v>0</v>
      </c>
      <c r="W32" s="35"/>
      <c r="X32" s="23" t="s">
        <v>29</v>
      </c>
      <c r="Y32" s="35"/>
      <c r="Z32" s="35">
        <v>7999759</v>
      </c>
      <c r="AA32" s="35"/>
      <c r="AB32" s="35">
        <f>6504991-1560219</f>
        <v>4944772</v>
      </c>
      <c r="AC32" s="35"/>
      <c r="AD32" s="35">
        <v>1560219</v>
      </c>
      <c r="AE32" s="35"/>
      <c r="AF32" s="35">
        <f t="shared" si="3"/>
        <v>1494768</v>
      </c>
      <c r="AG32" s="35"/>
      <c r="AH32" s="35">
        <v>-1303080</v>
      </c>
      <c r="AI32" s="35"/>
      <c r="AJ32" s="35">
        <v>0</v>
      </c>
      <c r="AK32" s="35"/>
      <c r="AL32" s="35">
        <v>10396</v>
      </c>
      <c r="AM32" s="35"/>
      <c r="AN32" s="35">
        <v>40909</v>
      </c>
      <c r="AO32" s="35"/>
      <c r="AP32" s="35">
        <f t="shared" si="8"/>
        <v>222201</v>
      </c>
      <c r="AQ32" s="35"/>
      <c r="AR32" s="35">
        <v>0</v>
      </c>
      <c r="AS32" s="35"/>
      <c r="AT32" s="35">
        <v>0</v>
      </c>
      <c r="AU32" s="35"/>
      <c r="AV32" s="35">
        <f t="shared" si="4"/>
        <v>992487</v>
      </c>
      <c r="AW32" s="35"/>
      <c r="AX32" s="23" t="s">
        <v>29</v>
      </c>
      <c r="AY32" s="35"/>
      <c r="AZ32" s="35">
        <f>4798361</f>
        <v>4798361</v>
      </c>
      <c r="BA32" s="35"/>
      <c r="BB32" s="35">
        <v>0</v>
      </c>
      <c r="BC32" s="35"/>
      <c r="BD32" s="35">
        <f>149639+23112297</f>
        <v>23261936</v>
      </c>
      <c r="BE32" s="35"/>
      <c r="BF32" s="35">
        <v>27292</v>
      </c>
      <c r="BG32" s="35"/>
      <c r="BH32" s="35"/>
      <c r="BI32" s="35"/>
      <c r="BJ32" s="17">
        <f t="shared" si="5"/>
        <v>28087589</v>
      </c>
    </row>
    <row r="33" spans="1:62" s="36" customFormat="1" ht="12">
      <c r="A33" s="23" t="s">
        <v>30</v>
      </c>
      <c r="B33" s="23"/>
      <c r="C33" s="35">
        <f t="shared" si="7"/>
        <v>4607648</v>
      </c>
      <c r="D33" s="35"/>
      <c r="E33" s="35">
        <v>25784191</v>
      </c>
      <c r="F33" s="35"/>
      <c r="G33" s="35">
        <v>30391839</v>
      </c>
      <c r="H33" s="35"/>
      <c r="I33" s="35">
        <f t="shared" si="10"/>
        <v>866589</v>
      </c>
      <c r="J33" s="35"/>
      <c r="K33" s="35">
        <v>9631477</v>
      </c>
      <c r="L33" s="35"/>
      <c r="M33" s="35">
        <v>10498066</v>
      </c>
      <c r="N33" s="35"/>
      <c r="O33" s="35">
        <v>17149148</v>
      </c>
      <c r="P33" s="35"/>
      <c r="Q33" s="35">
        <v>0</v>
      </c>
      <c r="R33" s="35"/>
      <c r="S33" s="35">
        <v>2744625</v>
      </c>
      <c r="T33" s="35"/>
      <c r="U33" s="35">
        <f t="shared" si="2"/>
        <v>19893773</v>
      </c>
      <c r="V33" s="35">
        <f t="shared" si="11"/>
        <v>0</v>
      </c>
      <c r="W33" s="35"/>
      <c r="X33" s="23" t="s">
        <v>30</v>
      </c>
      <c r="Y33" s="35"/>
      <c r="Z33" s="35">
        <v>2577710</v>
      </c>
      <c r="AA33" s="35"/>
      <c r="AB33" s="35">
        <f>2543798-832031</f>
        <v>1711767</v>
      </c>
      <c r="AC33" s="35"/>
      <c r="AD33" s="35">
        <v>832031</v>
      </c>
      <c r="AE33" s="35"/>
      <c r="AF33" s="35">
        <f t="shared" si="3"/>
        <v>33912</v>
      </c>
      <c r="AG33" s="35"/>
      <c r="AH33" s="35">
        <v>-345258</v>
      </c>
      <c r="AI33" s="35"/>
      <c r="AJ33" s="35">
        <v>0</v>
      </c>
      <c r="AK33" s="35"/>
      <c r="AL33" s="35">
        <v>0</v>
      </c>
      <c r="AM33" s="35"/>
      <c r="AN33" s="35">
        <v>56900</v>
      </c>
      <c r="AO33" s="35"/>
      <c r="AP33" s="35">
        <f t="shared" si="8"/>
        <v>-254446</v>
      </c>
      <c r="AQ33" s="35"/>
      <c r="AR33" s="35">
        <v>0</v>
      </c>
      <c r="AS33" s="35"/>
      <c r="AT33" s="35">
        <v>0</v>
      </c>
      <c r="AU33" s="35"/>
      <c r="AV33" s="35">
        <f t="shared" si="4"/>
        <v>3741059</v>
      </c>
      <c r="AW33" s="35"/>
      <c r="AX33" s="23" t="s">
        <v>30</v>
      </c>
      <c r="AY33" s="35"/>
      <c r="AZ33" s="35">
        <v>9593439</v>
      </c>
      <c r="BA33" s="35"/>
      <c r="BB33" s="35">
        <v>0</v>
      </c>
      <c r="BC33" s="35"/>
      <c r="BD33" s="35">
        <v>0</v>
      </c>
      <c r="BE33" s="35"/>
      <c r="BF33" s="35">
        <f>31931+6107</f>
        <v>38038</v>
      </c>
      <c r="BG33" s="35"/>
      <c r="BH33" s="35"/>
      <c r="BI33" s="35"/>
      <c r="BJ33" s="17">
        <f t="shared" si="5"/>
        <v>9631477</v>
      </c>
    </row>
    <row r="34" spans="1:62" s="36" customFormat="1" ht="12" hidden="1">
      <c r="A34" s="23" t="s">
        <v>239</v>
      </c>
      <c r="B34" s="23"/>
      <c r="C34" s="35">
        <f t="shared" si="7"/>
        <v>0</v>
      </c>
      <c r="D34" s="35"/>
      <c r="E34" s="35">
        <v>0</v>
      </c>
      <c r="F34" s="35"/>
      <c r="G34" s="35">
        <v>0</v>
      </c>
      <c r="H34" s="35"/>
      <c r="I34" s="35">
        <f t="shared" si="10"/>
        <v>0</v>
      </c>
      <c r="J34" s="35"/>
      <c r="K34" s="35">
        <v>0</v>
      </c>
      <c r="L34" s="35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f t="shared" si="2"/>
        <v>0</v>
      </c>
      <c r="V34" s="35">
        <f t="shared" si="11"/>
        <v>0</v>
      </c>
      <c r="W34" s="35"/>
      <c r="X34" s="23" t="s">
        <v>239</v>
      </c>
      <c r="Y34" s="35"/>
      <c r="Z34" s="35">
        <v>0</v>
      </c>
      <c r="AA34" s="35"/>
      <c r="AB34" s="35">
        <v>0</v>
      </c>
      <c r="AC34" s="35"/>
      <c r="AD34" s="35">
        <v>0</v>
      </c>
      <c r="AE34" s="35"/>
      <c r="AF34" s="35">
        <f t="shared" si="3"/>
        <v>0</v>
      </c>
      <c r="AG34" s="35"/>
      <c r="AH34" s="35">
        <v>0</v>
      </c>
      <c r="AI34" s="35"/>
      <c r="AJ34" s="35">
        <v>0</v>
      </c>
      <c r="AK34" s="35"/>
      <c r="AL34" s="35">
        <v>0</v>
      </c>
      <c r="AM34" s="35"/>
      <c r="AN34" s="35">
        <v>0</v>
      </c>
      <c r="AO34" s="35"/>
      <c r="AP34" s="35">
        <f t="shared" si="8"/>
        <v>0</v>
      </c>
      <c r="AQ34" s="35"/>
      <c r="AR34" s="35">
        <v>0</v>
      </c>
      <c r="AS34" s="35"/>
      <c r="AT34" s="35">
        <v>0</v>
      </c>
      <c r="AU34" s="35"/>
      <c r="AV34" s="35">
        <f t="shared" si="4"/>
        <v>0</v>
      </c>
      <c r="AW34" s="35"/>
      <c r="AX34" s="23" t="s">
        <v>239</v>
      </c>
      <c r="AY34" s="35"/>
      <c r="AZ34" s="35">
        <v>0</v>
      </c>
      <c r="BA34" s="35"/>
      <c r="BB34" s="35">
        <v>0</v>
      </c>
      <c r="BC34" s="35"/>
      <c r="BD34" s="35">
        <v>0</v>
      </c>
      <c r="BE34" s="35"/>
      <c r="BF34" s="35">
        <v>0</v>
      </c>
      <c r="BG34" s="35"/>
      <c r="BH34" s="35"/>
      <c r="BI34" s="35"/>
      <c r="BJ34" s="17">
        <f t="shared" si="5"/>
        <v>0</v>
      </c>
    </row>
    <row r="35" spans="1:62" s="36" customFormat="1" ht="12">
      <c r="A35" s="23" t="s">
        <v>32</v>
      </c>
      <c r="B35" s="23"/>
      <c r="C35" s="35">
        <f t="shared" si="7"/>
        <v>11786000</v>
      </c>
      <c r="D35" s="35"/>
      <c r="E35" s="35">
        <f>25386*1000</f>
        <v>25386000</v>
      </c>
      <c r="F35" s="35"/>
      <c r="G35" s="35">
        <f>37172*1000</f>
        <v>37172000</v>
      </c>
      <c r="H35" s="35"/>
      <c r="I35" s="35">
        <f t="shared" si="10"/>
        <v>3165000</v>
      </c>
      <c r="J35" s="35"/>
      <c r="K35" s="35">
        <f>14870*1000</f>
        <v>14870000</v>
      </c>
      <c r="L35" s="35"/>
      <c r="M35" s="35">
        <f>18035*1000</f>
        <v>18035000</v>
      </c>
      <c r="N35" s="35"/>
      <c r="O35" s="35">
        <f>18880*1000</f>
        <v>18880000</v>
      </c>
      <c r="P35" s="35"/>
      <c r="Q35" s="35">
        <v>0</v>
      </c>
      <c r="R35" s="35"/>
      <c r="S35" s="35">
        <f>257*1000</f>
        <v>257000</v>
      </c>
      <c r="T35" s="35"/>
      <c r="U35" s="35">
        <f t="shared" si="2"/>
        <v>19137000</v>
      </c>
      <c r="V35" s="35">
        <f t="shared" si="11"/>
        <v>0</v>
      </c>
      <c r="W35" s="35"/>
      <c r="X35" s="23" t="s">
        <v>32</v>
      </c>
      <c r="Y35" s="35"/>
      <c r="Z35" s="35">
        <f>6078*1000</f>
        <v>6078000</v>
      </c>
      <c r="AA35" s="35"/>
      <c r="AB35" s="35">
        <f>(6792-429)*1000</f>
        <v>6363000</v>
      </c>
      <c r="AC35" s="35"/>
      <c r="AD35" s="35">
        <f>429*1000</f>
        <v>429000</v>
      </c>
      <c r="AE35" s="35"/>
      <c r="AF35" s="35">
        <f t="shared" si="3"/>
        <v>-714000</v>
      </c>
      <c r="AG35" s="35"/>
      <c r="AH35" s="35">
        <f>(-98*1000)</f>
        <v>-98000</v>
      </c>
      <c r="AI35" s="35"/>
      <c r="AJ35" s="35">
        <v>0</v>
      </c>
      <c r="AK35" s="35"/>
      <c r="AL35" s="35">
        <v>0</v>
      </c>
      <c r="AM35" s="35"/>
      <c r="AN35" s="35">
        <f>2059*1000</f>
        <v>2059000</v>
      </c>
      <c r="AO35" s="35"/>
      <c r="AP35" s="35">
        <f t="shared" si="8"/>
        <v>1247000</v>
      </c>
      <c r="AQ35" s="35"/>
      <c r="AR35" s="35">
        <v>0</v>
      </c>
      <c r="AS35" s="35"/>
      <c r="AT35" s="35">
        <v>0</v>
      </c>
      <c r="AU35" s="35"/>
      <c r="AV35" s="35">
        <f t="shared" si="4"/>
        <v>8621000</v>
      </c>
      <c r="AW35" s="35"/>
      <c r="AX35" s="23" t="s">
        <v>32</v>
      </c>
      <c r="AY35" s="35"/>
      <c r="AZ35" s="35">
        <f>8770*1000</f>
        <v>8770000</v>
      </c>
      <c r="BA35" s="35"/>
      <c r="BB35" s="35">
        <v>0</v>
      </c>
      <c r="BC35" s="35"/>
      <c r="BD35" s="35">
        <f>5970*1000</f>
        <v>5970000</v>
      </c>
      <c r="BE35" s="35"/>
      <c r="BF35" s="35">
        <f>130*1000</f>
        <v>130000</v>
      </c>
      <c r="BG35" s="35"/>
      <c r="BH35" s="35"/>
      <c r="BI35" s="35"/>
      <c r="BJ35" s="17">
        <f t="shared" si="5"/>
        <v>14870000</v>
      </c>
    </row>
    <row r="36" spans="1:62" s="36" customFormat="1" ht="12">
      <c r="A36" s="23" t="s">
        <v>33</v>
      </c>
      <c r="B36" s="23"/>
      <c r="C36" s="35">
        <f t="shared" si="7"/>
        <v>2679199</v>
      </c>
      <c r="D36" s="35"/>
      <c r="E36" s="35">
        <v>18245686</v>
      </c>
      <c r="F36" s="35"/>
      <c r="G36" s="35">
        <v>20924885</v>
      </c>
      <c r="H36" s="35"/>
      <c r="I36" s="35">
        <f>+M36-K36</f>
        <v>1332998</v>
      </c>
      <c r="J36" s="35"/>
      <c r="K36" s="35">
        <v>3580659</v>
      </c>
      <c r="L36" s="35"/>
      <c r="M36" s="35">
        <v>4913657</v>
      </c>
      <c r="N36" s="35"/>
      <c r="O36" s="35">
        <v>14015567</v>
      </c>
      <c r="P36" s="35"/>
      <c r="Q36" s="35">
        <v>0</v>
      </c>
      <c r="R36" s="35"/>
      <c r="S36" s="35">
        <v>1995661</v>
      </c>
      <c r="T36" s="35"/>
      <c r="U36" s="35">
        <f t="shared" si="2"/>
        <v>16011228</v>
      </c>
      <c r="V36" s="35">
        <f t="shared" si="11"/>
        <v>0</v>
      </c>
      <c r="W36" s="35"/>
      <c r="X36" s="23" t="s">
        <v>33</v>
      </c>
      <c r="Y36" s="35"/>
      <c r="Z36" s="35">
        <v>2303808</v>
      </c>
      <c r="AA36" s="35"/>
      <c r="AB36" s="35">
        <f>2247953-386186</f>
        <v>1861767</v>
      </c>
      <c r="AC36" s="35"/>
      <c r="AD36" s="35">
        <v>386186</v>
      </c>
      <c r="AE36" s="35"/>
      <c r="AF36" s="35">
        <f t="shared" si="3"/>
        <v>55855</v>
      </c>
      <c r="AG36" s="35"/>
      <c r="AH36" s="35">
        <v>-166065</v>
      </c>
      <c r="AI36" s="35"/>
      <c r="AJ36" s="35">
        <v>0</v>
      </c>
      <c r="AK36" s="35"/>
      <c r="AL36" s="35">
        <v>0</v>
      </c>
      <c r="AM36" s="35"/>
      <c r="AN36" s="35">
        <v>4289717</v>
      </c>
      <c r="AO36" s="35"/>
      <c r="AP36" s="35">
        <f t="shared" si="8"/>
        <v>4179507</v>
      </c>
      <c r="AQ36" s="35"/>
      <c r="AR36" s="35">
        <v>0</v>
      </c>
      <c r="AS36" s="35"/>
      <c r="AT36" s="35">
        <v>0</v>
      </c>
      <c r="AU36" s="35"/>
      <c r="AV36" s="35">
        <f t="shared" si="4"/>
        <v>1346201</v>
      </c>
      <c r="AW36" s="35"/>
      <c r="AX36" s="23" t="s">
        <v>33</v>
      </c>
      <c r="AY36" s="35"/>
      <c r="AZ36" s="35">
        <f>72529</f>
        <v>72529</v>
      </c>
      <c r="BA36" s="35"/>
      <c r="BB36" s="35">
        <v>0</v>
      </c>
      <c r="BC36" s="35"/>
      <c r="BD36" s="35">
        <f>3291147+211582</f>
        <v>3502729</v>
      </c>
      <c r="BE36" s="35"/>
      <c r="BF36" s="35">
        <v>5401</v>
      </c>
      <c r="BG36" s="35"/>
      <c r="BH36" s="35"/>
      <c r="BI36" s="35"/>
      <c r="BJ36" s="17">
        <f t="shared" si="5"/>
        <v>3580659</v>
      </c>
    </row>
    <row r="37" spans="1:62" s="36" customFormat="1" ht="12">
      <c r="A37" s="23" t="s">
        <v>34</v>
      </c>
      <c r="B37" s="23"/>
      <c r="C37" s="35">
        <f t="shared" si="7"/>
        <v>5738660</v>
      </c>
      <c r="D37" s="35"/>
      <c r="E37" s="35">
        <v>38035779</v>
      </c>
      <c r="F37" s="35"/>
      <c r="G37" s="35">
        <v>43774439</v>
      </c>
      <c r="H37" s="35"/>
      <c r="I37" s="35">
        <f t="shared" si="10"/>
        <v>767008</v>
      </c>
      <c r="J37" s="35"/>
      <c r="K37" s="35">
        <v>16133028</v>
      </c>
      <c r="L37" s="35"/>
      <c r="M37" s="35">
        <v>16900036</v>
      </c>
      <c r="N37" s="35"/>
      <c r="O37" s="35">
        <v>21588719</v>
      </c>
      <c r="P37" s="35"/>
      <c r="Q37" s="35">
        <v>0</v>
      </c>
      <c r="R37" s="35"/>
      <c r="S37" s="35">
        <v>5285684</v>
      </c>
      <c r="T37" s="35"/>
      <c r="U37" s="35">
        <f t="shared" si="2"/>
        <v>26874403</v>
      </c>
      <c r="V37" s="35">
        <f t="shared" si="11"/>
        <v>0</v>
      </c>
      <c r="W37" s="35"/>
      <c r="X37" s="23" t="s">
        <v>34</v>
      </c>
      <c r="Y37" s="35"/>
      <c r="Z37" s="35">
        <v>7602305</v>
      </c>
      <c r="AA37" s="35"/>
      <c r="AB37" s="35">
        <f>6153874-1615784</f>
        <v>4538090</v>
      </c>
      <c r="AC37" s="35"/>
      <c r="AD37" s="35">
        <v>1615784</v>
      </c>
      <c r="AE37" s="35"/>
      <c r="AF37" s="35">
        <f t="shared" si="3"/>
        <v>1448431</v>
      </c>
      <c r="AG37" s="35"/>
      <c r="AH37" s="35">
        <v>-445477</v>
      </c>
      <c r="AI37" s="35"/>
      <c r="AJ37" s="35">
        <v>115139</v>
      </c>
      <c r="AK37" s="35"/>
      <c r="AL37" s="35">
        <v>29139</v>
      </c>
      <c r="AM37" s="35"/>
      <c r="AN37" s="35">
        <v>3134237</v>
      </c>
      <c r="AO37" s="35"/>
      <c r="AP37" s="35">
        <f t="shared" si="8"/>
        <v>4223191</v>
      </c>
      <c r="AQ37" s="35"/>
      <c r="AR37" s="35">
        <v>0</v>
      </c>
      <c r="AS37" s="35"/>
      <c r="AT37" s="35">
        <v>0</v>
      </c>
      <c r="AU37" s="35"/>
      <c r="AV37" s="35">
        <f t="shared" si="4"/>
        <v>4971652</v>
      </c>
      <c r="AW37" s="35"/>
      <c r="AX37" s="23" t="s">
        <v>34</v>
      </c>
      <c r="AY37" s="35"/>
      <c r="AZ37" s="35">
        <v>0</v>
      </c>
      <c r="BA37" s="35"/>
      <c r="BB37" s="35">
        <f>3446000</f>
        <v>3446000</v>
      </c>
      <c r="BC37" s="35"/>
      <c r="BD37" s="35">
        <f>12344698+210001</f>
        <v>12554699</v>
      </c>
      <c r="BE37" s="35"/>
      <c r="BF37" s="35">
        <f>132329</f>
        <v>132329</v>
      </c>
      <c r="BG37" s="35"/>
      <c r="BH37" s="35"/>
      <c r="BI37" s="35"/>
      <c r="BJ37" s="17">
        <f t="shared" si="5"/>
        <v>16133028</v>
      </c>
    </row>
    <row r="38" spans="1:62" s="36" customFormat="1" ht="12" hidden="1">
      <c r="A38" s="23" t="s">
        <v>35</v>
      </c>
      <c r="B38" s="23"/>
      <c r="C38" s="35">
        <f t="shared" si="7"/>
        <v>0</v>
      </c>
      <c r="D38" s="35"/>
      <c r="E38" s="35">
        <v>0</v>
      </c>
      <c r="F38" s="35"/>
      <c r="G38" s="35">
        <v>0</v>
      </c>
      <c r="H38" s="35"/>
      <c r="I38" s="35">
        <f t="shared" si="10"/>
        <v>0</v>
      </c>
      <c r="J38" s="35"/>
      <c r="K38" s="35">
        <v>0</v>
      </c>
      <c r="L38" s="35"/>
      <c r="M38" s="35"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5">
        <f t="shared" si="2"/>
        <v>0</v>
      </c>
      <c r="V38" s="35">
        <f t="shared" si="11"/>
        <v>0</v>
      </c>
      <c r="W38" s="35"/>
      <c r="X38" s="23" t="s">
        <v>35</v>
      </c>
      <c r="Y38" s="35"/>
      <c r="Z38" s="35">
        <v>0</v>
      </c>
      <c r="AA38" s="35"/>
      <c r="AB38" s="35">
        <v>0</v>
      </c>
      <c r="AC38" s="35"/>
      <c r="AD38" s="35">
        <v>0</v>
      </c>
      <c r="AE38" s="35"/>
      <c r="AF38" s="35">
        <f t="shared" si="3"/>
        <v>0</v>
      </c>
      <c r="AG38" s="35"/>
      <c r="AH38" s="35">
        <v>0</v>
      </c>
      <c r="AI38" s="35"/>
      <c r="AJ38" s="35">
        <v>0</v>
      </c>
      <c r="AK38" s="35"/>
      <c r="AL38" s="35">
        <v>0</v>
      </c>
      <c r="AM38" s="35"/>
      <c r="AN38" s="35">
        <v>0</v>
      </c>
      <c r="AO38" s="35"/>
      <c r="AP38" s="35">
        <f t="shared" si="8"/>
        <v>0</v>
      </c>
      <c r="AQ38" s="35"/>
      <c r="AR38" s="35">
        <v>0</v>
      </c>
      <c r="AS38" s="35"/>
      <c r="AT38" s="35">
        <v>0</v>
      </c>
      <c r="AU38" s="35"/>
      <c r="AV38" s="35">
        <f t="shared" si="4"/>
        <v>0</v>
      </c>
      <c r="AW38" s="35"/>
      <c r="AX38" s="23" t="s">
        <v>35</v>
      </c>
      <c r="AY38" s="35"/>
      <c r="AZ38" s="35">
        <v>0</v>
      </c>
      <c r="BA38" s="35"/>
      <c r="BB38" s="35">
        <v>0</v>
      </c>
      <c r="BC38" s="35"/>
      <c r="BD38" s="35">
        <v>0</v>
      </c>
      <c r="BE38" s="35"/>
      <c r="BF38" s="35">
        <v>0</v>
      </c>
      <c r="BG38" s="35"/>
      <c r="BH38" s="35"/>
      <c r="BI38" s="35"/>
      <c r="BJ38" s="17">
        <f t="shared" si="5"/>
        <v>0</v>
      </c>
    </row>
    <row r="39" spans="1:62" s="36" customFormat="1" ht="12">
      <c r="A39" s="23" t="s">
        <v>182</v>
      </c>
      <c r="B39" s="23"/>
      <c r="C39" s="35">
        <f t="shared" si="7"/>
        <v>11757486</v>
      </c>
      <c r="D39" s="35"/>
      <c r="E39" s="35">
        <v>83284428</v>
      </c>
      <c r="F39" s="35"/>
      <c r="G39" s="35">
        <v>95041914</v>
      </c>
      <c r="H39" s="35"/>
      <c r="I39" s="35">
        <f>+M39-K39</f>
        <v>4433000</v>
      </c>
      <c r="J39" s="35"/>
      <c r="K39" s="35">
        <v>43698193</v>
      </c>
      <c r="L39" s="35"/>
      <c r="M39" s="35">
        <v>48131193</v>
      </c>
      <c r="N39" s="35"/>
      <c r="O39" s="35">
        <v>36670198</v>
      </c>
      <c r="P39" s="35"/>
      <c r="Q39" s="35">
        <v>1938505</v>
      </c>
      <c r="R39" s="35"/>
      <c r="S39" s="35">
        <v>8302018</v>
      </c>
      <c r="T39" s="35"/>
      <c r="U39" s="35">
        <f t="shared" si="2"/>
        <v>46910721</v>
      </c>
      <c r="V39" s="35">
        <f t="shared" si="11"/>
        <v>0</v>
      </c>
      <c r="W39" s="35"/>
      <c r="X39" s="23" t="s">
        <v>182</v>
      </c>
      <c r="Y39" s="35"/>
      <c r="Z39" s="35">
        <v>9343391</v>
      </c>
      <c r="AA39" s="35"/>
      <c r="AB39" s="35">
        <f>7367639-2073595</f>
        <v>5294044</v>
      </c>
      <c r="AC39" s="35"/>
      <c r="AD39" s="35">
        <v>2073595</v>
      </c>
      <c r="AE39" s="35"/>
      <c r="AF39" s="35">
        <f t="shared" si="3"/>
        <v>1975752</v>
      </c>
      <c r="AG39" s="35"/>
      <c r="AH39" s="35">
        <v>-492416</v>
      </c>
      <c r="AI39" s="35"/>
      <c r="AJ39" s="35">
        <v>117205</v>
      </c>
      <c r="AK39" s="35"/>
      <c r="AL39" s="35">
        <v>52216</v>
      </c>
      <c r="AM39" s="35"/>
      <c r="AN39" s="35">
        <v>324401</v>
      </c>
      <c r="AO39" s="35"/>
      <c r="AP39" s="35">
        <f t="shared" si="8"/>
        <v>1872726</v>
      </c>
      <c r="AQ39" s="35"/>
      <c r="AR39" s="35">
        <v>0</v>
      </c>
      <c r="AS39" s="35"/>
      <c r="AT39" s="35">
        <v>0</v>
      </c>
      <c r="AU39" s="35"/>
      <c r="AV39" s="35">
        <f t="shared" si="4"/>
        <v>7324486</v>
      </c>
      <c r="AW39" s="35"/>
      <c r="AX39" s="23" t="s">
        <v>182</v>
      </c>
      <c r="AY39" s="35"/>
      <c r="AZ39" s="35">
        <f>9914623+1218006</f>
        <v>11132629</v>
      </c>
      <c r="BA39" s="35"/>
      <c r="BB39" s="35">
        <v>26786580</v>
      </c>
      <c r="BC39" s="35"/>
      <c r="BD39" s="35">
        <f>5778984</f>
        <v>5778984</v>
      </c>
      <c r="BE39" s="35"/>
      <c r="BF39" s="35">
        <v>0</v>
      </c>
      <c r="BG39" s="35"/>
      <c r="BH39" s="35"/>
      <c r="BI39" s="35"/>
      <c r="BJ39" s="17">
        <f t="shared" si="5"/>
        <v>43698193</v>
      </c>
    </row>
    <row r="40" spans="1:62" s="36" customFormat="1" ht="12" hidden="1">
      <c r="A40" s="23" t="s">
        <v>244</v>
      </c>
      <c r="B40" s="23"/>
      <c r="C40" s="35">
        <f t="shared" si="7"/>
        <v>0</v>
      </c>
      <c r="D40" s="35"/>
      <c r="E40" s="24">
        <v>0</v>
      </c>
      <c r="F40" s="35"/>
      <c r="G40" s="24">
        <v>0</v>
      </c>
      <c r="H40" s="35"/>
      <c r="I40" s="35">
        <f t="shared" si="10"/>
        <v>0</v>
      </c>
      <c r="J40" s="35"/>
      <c r="K40" s="24">
        <v>0</v>
      </c>
      <c r="L40" s="35"/>
      <c r="M40" s="24">
        <v>0</v>
      </c>
      <c r="N40" s="35"/>
      <c r="O40" s="24">
        <v>0</v>
      </c>
      <c r="P40" s="35"/>
      <c r="Q40" s="24">
        <v>0</v>
      </c>
      <c r="R40" s="35"/>
      <c r="S40" s="24">
        <v>0</v>
      </c>
      <c r="T40" s="35"/>
      <c r="U40" s="35">
        <f t="shared" si="2"/>
        <v>0</v>
      </c>
      <c r="V40" s="35">
        <f t="shared" si="11"/>
        <v>0</v>
      </c>
      <c r="W40" s="35"/>
      <c r="X40" s="23" t="s">
        <v>36</v>
      </c>
      <c r="Y40" s="35"/>
      <c r="Z40" s="24">
        <v>0</v>
      </c>
      <c r="AA40" s="35"/>
      <c r="AB40" s="24">
        <v>0</v>
      </c>
      <c r="AC40" s="35"/>
      <c r="AD40" s="24">
        <v>0</v>
      </c>
      <c r="AE40" s="35"/>
      <c r="AF40" s="35">
        <f t="shared" si="3"/>
        <v>0</v>
      </c>
      <c r="AG40" s="35"/>
      <c r="AH40" s="24">
        <v>0</v>
      </c>
      <c r="AI40" s="35"/>
      <c r="AJ40" s="24">
        <v>0</v>
      </c>
      <c r="AK40" s="35"/>
      <c r="AL40" s="24">
        <v>0</v>
      </c>
      <c r="AM40" s="35"/>
      <c r="AN40" s="24">
        <v>0</v>
      </c>
      <c r="AO40" s="35"/>
      <c r="AP40" s="35">
        <f t="shared" si="8"/>
        <v>0</v>
      </c>
      <c r="AQ40" s="35"/>
      <c r="AR40" s="35">
        <v>0</v>
      </c>
      <c r="AS40" s="35"/>
      <c r="AT40" s="35">
        <v>0</v>
      </c>
      <c r="AU40" s="35"/>
      <c r="AV40" s="35">
        <f t="shared" si="4"/>
        <v>0</v>
      </c>
      <c r="AW40" s="35"/>
      <c r="AX40" s="23" t="s">
        <v>36</v>
      </c>
      <c r="AY40" s="35"/>
      <c r="AZ40" s="24">
        <v>0</v>
      </c>
      <c r="BA40" s="35"/>
      <c r="BB40" s="24">
        <v>0</v>
      </c>
      <c r="BC40" s="35"/>
      <c r="BD40" s="24">
        <v>0</v>
      </c>
      <c r="BE40" s="35"/>
      <c r="BF40" s="24">
        <v>0</v>
      </c>
      <c r="BG40" s="35"/>
      <c r="BH40" s="35"/>
      <c r="BI40" s="35"/>
      <c r="BJ40" s="17">
        <f t="shared" si="5"/>
        <v>0</v>
      </c>
    </row>
    <row r="41" spans="1:62" s="36" customFormat="1" ht="12" hidden="1">
      <c r="A41" s="23" t="s">
        <v>245</v>
      </c>
      <c r="B41" s="23"/>
      <c r="C41" s="35">
        <f t="shared" si="7"/>
        <v>0</v>
      </c>
      <c r="D41" s="35"/>
      <c r="E41" s="24">
        <v>0</v>
      </c>
      <c r="F41" s="35"/>
      <c r="G41" s="24">
        <v>0</v>
      </c>
      <c r="H41" s="35"/>
      <c r="I41" s="35">
        <f t="shared" si="10"/>
        <v>0</v>
      </c>
      <c r="J41" s="35"/>
      <c r="K41" s="24">
        <v>0</v>
      </c>
      <c r="L41" s="35"/>
      <c r="M41" s="24">
        <v>0</v>
      </c>
      <c r="N41" s="35"/>
      <c r="O41" s="24">
        <v>0</v>
      </c>
      <c r="P41" s="35"/>
      <c r="Q41" s="24">
        <v>0</v>
      </c>
      <c r="R41" s="35"/>
      <c r="S41" s="24">
        <v>0</v>
      </c>
      <c r="T41" s="35"/>
      <c r="U41" s="35">
        <f t="shared" si="2"/>
        <v>0</v>
      </c>
      <c r="V41" s="35">
        <f t="shared" si="11"/>
        <v>0</v>
      </c>
      <c r="W41" s="35"/>
      <c r="X41" s="23" t="s">
        <v>37</v>
      </c>
      <c r="Y41" s="35"/>
      <c r="Z41" s="24">
        <v>0</v>
      </c>
      <c r="AA41" s="35"/>
      <c r="AB41" s="24">
        <v>0</v>
      </c>
      <c r="AC41" s="35"/>
      <c r="AD41" s="24">
        <v>0</v>
      </c>
      <c r="AE41" s="35"/>
      <c r="AF41" s="35">
        <f t="shared" si="3"/>
        <v>0</v>
      </c>
      <c r="AG41" s="35"/>
      <c r="AH41" s="24">
        <v>0</v>
      </c>
      <c r="AI41" s="35"/>
      <c r="AJ41" s="24">
        <v>0</v>
      </c>
      <c r="AK41" s="35"/>
      <c r="AL41" s="24">
        <v>0</v>
      </c>
      <c r="AM41" s="35"/>
      <c r="AN41" s="24">
        <v>0</v>
      </c>
      <c r="AO41" s="35"/>
      <c r="AP41" s="35">
        <f t="shared" si="8"/>
        <v>0</v>
      </c>
      <c r="AQ41" s="35"/>
      <c r="AR41" s="35">
        <v>0</v>
      </c>
      <c r="AS41" s="35"/>
      <c r="AT41" s="35">
        <v>0</v>
      </c>
      <c r="AU41" s="35"/>
      <c r="AV41" s="35">
        <f t="shared" si="4"/>
        <v>0</v>
      </c>
      <c r="AW41" s="35"/>
      <c r="AX41" s="23" t="s">
        <v>37</v>
      </c>
      <c r="AY41" s="35"/>
      <c r="AZ41" s="24">
        <v>0</v>
      </c>
      <c r="BA41" s="35"/>
      <c r="BB41" s="24">
        <v>0</v>
      </c>
      <c r="BC41" s="35"/>
      <c r="BD41" s="24">
        <v>0</v>
      </c>
      <c r="BE41" s="35"/>
      <c r="BF41" s="24">
        <v>0</v>
      </c>
      <c r="BG41" s="35"/>
      <c r="BH41" s="35"/>
      <c r="BI41" s="35"/>
      <c r="BJ41" s="17">
        <f t="shared" si="5"/>
        <v>0</v>
      </c>
    </row>
    <row r="42" spans="1:62" s="36" customFormat="1" ht="12" hidden="1">
      <c r="A42" s="23" t="s">
        <v>38</v>
      </c>
      <c r="B42" s="23"/>
      <c r="C42" s="35">
        <f t="shared" si="7"/>
        <v>0</v>
      </c>
      <c r="D42" s="35"/>
      <c r="E42" s="24">
        <v>0</v>
      </c>
      <c r="F42" s="35"/>
      <c r="G42" s="24">
        <v>0</v>
      </c>
      <c r="H42" s="35"/>
      <c r="I42" s="35">
        <f t="shared" si="10"/>
        <v>0</v>
      </c>
      <c r="J42" s="35"/>
      <c r="K42" s="24">
        <v>0</v>
      </c>
      <c r="L42" s="35"/>
      <c r="M42" s="24">
        <v>0</v>
      </c>
      <c r="N42" s="35"/>
      <c r="O42" s="24">
        <v>0</v>
      </c>
      <c r="P42" s="35"/>
      <c r="Q42" s="24">
        <v>0</v>
      </c>
      <c r="R42" s="35"/>
      <c r="S42" s="24">
        <v>0</v>
      </c>
      <c r="T42" s="35"/>
      <c r="U42" s="35">
        <f t="shared" si="2"/>
        <v>0</v>
      </c>
      <c r="V42" s="35">
        <f t="shared" si="11"/>
        <v>0</v>
      </c>
      <c r="W42" s="35"/>
      <c r="X42" s="23" t="s">
        <v>38</v>
      </c>
      <c r="Y42" s="35"/>
      <c r="Z42" s="24">
        <v>0</v>
      </c>
      <c r="AA42" s="35"/>
      <c r="AB42" s="24">
        <v>0</v>
      </c>
      <c r="AC42" s="35"/>
      <c r="AD42" s="24">
        <v>0</v>
      </c>
      <c r="AE42" s="35"/>
      <c r="AF42" s="35">
        <f t="shared" si="3"/>
        <v>0</v>
      </c>
      <c r="AG42" s="35"/>
      <c r="AH42" s="24">
        <v>0</v>
      </c>
      <c r="AI42" s="35"/>
      <c r="AJ42" s="24">
        <v>0</v>
      </c>
      <c r="AK42" s="35"/>
      <c r="AL42" s="24">
        <v>0</v>
      </c>
      <c r="AM42" s="35"/>
      <c r="AN42" s="24">
        <v>0</v>
      </c>
      <c r="AO42" s="35"/>
      <c r="AP42" s="35">
        <f t="shared" si="8"/>
        <v>0</v>
      </c>
      <c r="AQ42" s="35"/>
      <c r="AR42" s="35">
        <v>0</v>
      </c>
      <c r="AS42" s="35"/>
      <c r="AT42" s="35">
        <v>0</v>
      </c>
      <c r="AU42" s="35"/>
      <c r="AV42" s="35">
        <f t="shared" si="4"/>
        <v>0</v>
      </c>
      <c r="AW42" s="35"/>
      <c r="AX42" s="23" t="s">
        <v>38</v>
      </c>
      <c r="AY42" s="35"/>
      <c r="AZ42" s="24">
        <v>0</v>
      </c>
      <c r="BA42" s="35"/>
      <c r="BB42" s="24">
        <v>0</v>
      </c>
      <c r="BC42" s="35"/>
      <c r="BD42" s="24">
        <v>0</v>
      </c>
      <c r="BE42" s="35"/>
      <c r="BF42" s="24">
        <v>0</v>
      </c>
      <c r="BG42" s="35"/>
      <c r="BH42" s="35"/>
      <c r="BI42" s="35"/>
      <c r="BJ42" s="17">
        <f t="shared" si="5"/>
        <v>0</v>
      </c>
    </row>
    <row r="43" spans="1:62" s="36" customFormat="1" ht="12" hidden="1">
      <c r="A43" s="23" t="s">
        <v>168</v>
      </c>
      <c r="B43" s="23"/>
      <c r="C43" s="35">
        <f t="shared" si="7"/>
        <v>0</v>
      </c>
      <c r="D43" s="35"/>
      <c r="E43" s="24">
        <v>0</v>
      </c>
      <c r="F43" s="35"/>
      <c r="G43" s="24">
        <v>0</v>
      </c>
      <c r="H43" s="35"/>
      <c r="I43" s="35">
        <f t="shared" si="10"/>
        <v>0</v>
      </c>
      <c r="J43" s="35"/>
      <c r="K43" s="24">
        <v>0</v>
      </c>
      <c r="L43" s="35"/>
      <c r="M43" s="24">
        <v>0</v>
      </c>
      <c r="N43" s="35"/>
      <c r="O43" s="24">
        <v>0</v>
      </c>
      <c r="P43" s="35"/>
      <c r="Q43" s="24">
        <v>0</v>
      </c>
      <c r="R43" s="35"/>
      <c r="S43" s="24">
        <v>0</v>
      </c>
      <c r="T43" s="35"/>
      <c r="U43" s="35">
        <f t="shared" si="2"/>
        <v>0</v>
      </c>
      <c r="V43" s="35">
        <f t="shared" si="11"/>
        <v>0</v>
      </c>
      <c r="W43" s="35"/>
      <c r="X43" s="23" t="s">
        <v>168</v>
      </c>
      <c r="Y43" s="35"/>
      <c r="Z43" s="24">
        <v>0</v>
      </c>
      <c r="AA43" s="35"/>
      <c r="AB43" s="24">
        <v>0</v>
      </c>
      <c r="AC43" s="35"/>
      <c r="AD43" s="24">
        <v>0</v>
      </c>
      <c r="AE43" s="35"/>
      <c r="AF43" s="35">
        <f t="shared" si="3"/>
        <v>0</v>
      </c>
      <c r="AG43" s="35"/>
      <c r="AH43" s="24">
        <v>0</v>
      </c>
      <c r="AI43" s="35"/>
      <c r="AJ43" s="24">
        <v>0</v>
      </c>
      <c r="AK43" s="35"/>
      <c r="AL43" s="24">
        <v>0</v>
      </c>
      <c r="AM43" s="35"/>
      <c r="AN43" s="24">
        <v>0</v>
      </c>
      <c r="AO43" s="35"/>
      <c r="AP43" s="35">
        <f t="shared" si="8"/>
        <v>0</v>
      </c>
      <c r="AQ43" s="35"/>
      <c r="AR43" s="35">
        <v>0</v>
      </c>
      <c r="AS43" s="35"/>
      <c r="AT43" s="35">
        <v>0</v>
      </c>
      <c r="AU43" s="35"/>
      <c r="AV43" s="35">
        <f t="shared" si="4"/>
        <v>0</v>
      </c>
      <c r="AW43" s="35"/>
      <c r="AX43" s="23" t="s">
        <v>168</v>
      </c>
      <c r="AY43" s="35"/>
      <c r="AZ43" s="24">
        <v>0</v>
      </c>
      <c r="BA43" s="35"/>
      <c r="BB43" s="24">
        <v>0</v>
      </c>
      <c r="BC43" s="35"/>
      <c r="BD43" s="24">
        <v>0</v>
      </c>
      <c r="BE43" s="35"/>
      <c r="BF43" s="24">
        <v>0</v>
      </c>
      <c r="BG43" s="35"/>
      <c r="BH43" s="35"/>
      <c r="BI43" s="35"/>
      <c r="BJ43" s="17">
        <f t="shared" si="5"/>
        <v>0</v>
      </c>
    </row>
    <row r="44" spans="1:62" s="36" customFormat="1" ht="12" hidden="1">
      <c r="A44" s="23" t="s">
        <v>39</v>
      </c>
      <c r="B44" s="23"/>
      <c r="C44" s="35">
        <f t="shared" si="7"/>
        <v>0</v>
      </c>
      <c r="D44" s="35"/>
      <c r="E44" s="24">
        <v>0</v>
      </c>
      <c r="F44" s="35"/>
      <c r="G44" s="24">
        <v>0</v>
      </c>
      <c r="H44" s="35"/>
      <c r="I44" s="35">
        <f t="shared" si="10"/>
        <v>0</v>
      </c>
      <c r="J44" s="35"/>
      <c r="K44" s="24">
        <v>0</v>
      </c>
      <c r="L44" s="35"/>
      <c r="M44" s="24">
        <v>0</v>
      </c>
      <c r="N44" s="35"/>
      <c r="O44" s="24">
        <v>0</v>
      </c>
      <c r="P44" s="35"/>
      <c r="Q44" s="24">
        <v>0</v>
      </c>
      <c r="R44" s="35"/>
      <c r="S44" s="24">
        <v>0</v>
      </c>
      <c r="T44" s="35"/>
      <c r="U44" s="35">
        <f t="shared" si="2"/>
        <v>0</v>
      </c>
      <c r="V44" s="35">
        <f t="shared" si="11"/>
        <v>0</v>
      </c>
      <c r="W44" s="35"/>
      <c r="X44" s="23" t="s">
        <v>39</v>
      </c>
      <c r="Y44" s="35"/>
      <c r="Z44" s="24">
        <v>0</v>
      </c>
      <c r="AA44" s="35"/>
      <c r="AB44" s="24">
        <v>0</v>
      </c>
      <c r="AC44" s="35"/>
      <c r="AD44" s="24">
        <v>0</v>
      </c>
      <c r="AE44" s="35"/>
      <c r="AF44" s="35">
        <f t="shared" si="3"/>
        <v>0</v>
      </c>
      <c r="AG44" s="35"/>
      <c r="AH44" s="24">
        <v>0</v>
      </c>
      <c r="AI44" s="35"/>
      <c r="AJ44" s="24">
        <v>0</v>
      </c>
      <c r="AK44" s="35"/>
      <c r="AL44" s="24">
        <v>0</v>
      </c>
      <c r="AM44" s="35"/>
      <c r="AN44" s="24">
        <v>0</v>
      </c>
      <c r="AO44" s="35"/>
      <c r="AP44" s="35">
        <f t="shared" si="8"/>
        <v>0</v>
      </c>
      <c r="AQ44" s="35"/>
      <c r="AR44" s="35">
        <v>0</v>
      </c>
      <c r="AS44" s="35"/>
      <c r="AT44" s="35">
        <v>0</v>
      </c>
      <c r="AU44" s="35"/>
      <c r="AV44" s="35">
        <f t="shared" si="4"/>
        <v>0</v>
      </c>
      <c r="AW44" s="35"/>
      <c r="AX44" s="23" t="s">
        <v>39</v>
      </c>
      <c r="AY44" s="35"/>
      <c r="AZ44" s="24">
        <v>0</v>
      </c>
      <c r="BA44" s="35"/>
      <c r="BB44" s="24">
        <v>0</v>
      </c>
      <c r="BC44" s="35"/>
      <c r="BD44" s="24">
        <v>0</v>
      </c>
      <c r="BE44" s="35"/>
      <c r="BF44" s="24">
        <v>0</v>
      </c>
      <c r="BG44" s="35"/>
      <c r="BH44" s="35"/>
      <c r="BI44" s="35"/>
      <c r="BJ44" s="17">
        <f t="shared" si="5"/>
        <v>0</v>
      </c>
    </row>
    <row r="45" spans="1:62" s="36" customFormat="1" ht="12" hidden="1">
      <c r="A45" s="23" t="s">
        <v>40</v>
      </c>
      <c r="B45" s="23"/>
      <c r="C45" s="35">
        <f t="shared" si="7"/>
        <v>0</v>
      </c>
      <c r="D45" s="35"/>
      <c r="E45" s="24">
        <v>0</v>
      </c>
      <c r="F45" s="35"/>
      <c r="G45" s="24">
        <v>0</v>
      </c>
      <c r="H45" s="35"/>
      <c r="I45" s="35">
        <f t="shared" si="10"/>
        <v>0</v>
      </c>
      <c r="J45" s="35"/>
      <c r="K45" s="24">
        <v>0</v>
      </c>
      <c r="L45" s="35"/>
      <c r="M45" s="24">
        <v>0</v>
      </c>
      <c r="N45" s="35"/>
      <c r="O45" s="24">
        <v>0</v>
      </c>
      <c r="P45" s="35"/>
      <c r="Q45" s="24">
        <v>0</v>
      </c>
      <c r="R45" s="35"/>
      <c r="S45" s="24">
        <v>0</v>
      </c>
      <c r="T45" s="35"/>
      <c r="U45" s="35">
        <f t="shared" si="2"/>
        <v>0</v>
      </c>
      <c r="V45" s="35">
        <f t="shared" si="11"/>
        <v>0</v>
      </c>
      <c r="W45" s="35"/>
      <c r="X45" s="23" t="s">
        <v>40</v>
      </c>
      <c r="Y45" s="35"/>
      <c r="Z45" s="24">
        <v>0</v>
      </c>
      <c r="AA45" s="35"/>
      <c r="AB45" s="24">
        <v>0</v>
      </c>
      <c r="AC45" s="35"/>
      <c r="AD45" s="24">
        <v>0</v>
      </c>
      <c r="AE45" s="35"/>
      <c r="AF45" s="35">
        <f t="shared" si="3"/>
        <v>0</v>
      </c>
      <c r="AG45" s="35"/>
      <c r="AH45" s="24">
        <v>0</v>
      </c>
      <c r="AI45" s="35"/>
      <c r="AJ45" s="24">
        <v>0</v>
      </c>
      <c r="AK45" s="35"/>
      <c r="AL45" s="24">
        <v>0</v>
      </c>
      <c r="AM45" s="35"/>
      <c r="AN45" s="24">
        <v>0</v>
      </c>
      <c r="AO45" s="35"/>
      <c r="AP45" s="35">
        <f t="shared" si="8"/>
        <v>0</v>
      </c>
      <c r="AQ45" s="35"/>
      <c r="AR45" s="35">
        <v>0</v>
      </c>
      <c r="AS45" s="35"/>
      <c r="AT45" s="35">
        <v>0</v>
      </c>
      <c r="AU45" s="35"/>
      <c r="AV45" s="35">
        <f t="shared" si="4"/>
        <v>0</v>
      </c>
      <c r="AW45" s="35"/>
      <c r="AX45" s="23" t="s">
        <v>40</v>
      </c>
      <c r="AY45" s="35"/>
      <c r="AZ45" s="24">
        <v>0</v>
      </c>
      <c r="BA45" s="35"/>
      <c r="BB45" s="24">
        <v>0</v>
      </c>
      <c r="BC45" s="35"/>
      <c r="BD45" s="24">
        <v>0</v>
      </c>
      <c r="BE45" s="35"/>
      <c r="BF45" s="24">
        <v>0</v>
      </c>
      <c r="BG45" s="35"/>
      <c r="BH45" s="35"/>
      <c r="BI45" s="35"/>
      <c r="BJ45" s="17">
        <f t="shared" si="5"/>
        <v>0</v>
      </c>
    </row>
    <row r="46" spans="1:62" s="36" customFormat="1" ht="12" hidden="1">
      <c r="A46" s="23" t="s">
        <v>41</v>
      </c>
      <c r="B46" s="23"/>
      <c r="C46" s="35">
        <f t="shared" si="7"/>
        <v>0</v>
      </c>
      <c r="D46" s="35"/>
      <c r="E46" s="24">
        <v>0</v>
      </c>
      <c r="F46" s="35"/>
      <c r="G46" s="24">
        <v>0</v>
      </c>
      <c r="H46" s="35"/>
      <c r="I46" s="35">
        <f t="shared" si="10"/>
        <v>0</v>
      </c>
      <c r="J46" s="35"/>
      <c r="K46" s="24">
        <v>0</v>
      </c>
      <c r="L46" s="35"/>
      <c r="M46" s="24">
        <v>0</v>
      </c>
      <c r="N46" s="35"/>
      <c r="O46" s="24">
        <v>0</v>
      </c>
      <c r="P46" s="35"/>
      <c r="Q46" s="24">
        <v>0</v>
      </c>
      <c r="R46" s="35"/>
      <c r="S46" s="24">
        <v>0</v>
      </c>
      <c r="T46" s="35"/>
      <c r="U46" s="35">
        <f t="shared" si="2"/>
        <v>0</v>
      </c>
      <c r="V46" s="35">
        <f t="shared" si="11"/>
        <v>0</v>
      </c>
      <c r="W46" s="35"/>
      <c r="X46" s="23" t="s">
        <v>41</v>
      </c>
      <c r="Y46" s="35"/>
      <c r="Z46" s="24">
        <v>0</v>
      </c>
      <c r="AA46" s="35"/>
      <c r="AB46" s="24">
        <v>0</v>
      </c>
      <c r="AC46" s="35"/>
      <c r="AD46" s="24">
        <v>0</v>
      </c>
      <c r="AE46" s="35"/>
      <c r="AF46" s="35">
        <f t="shared" si="3"/>
        <v>0</v>
      </c>
      <c r="AG46" s="35"/>
      <c r="AH46" s="24">
        <v>0</v>
      </c>
      <c r="AI46" s="35"/>
      <c r="AJ46" s="24">
        <v>0</v>
      </c>
      <c r="AK46" s="35"/>
      <c r="AL46" s="24">
        <v>0</v>
      </c>
      <c r="AM46" s="35"/>
      <c r="AN46" s="24">
        <v>0</v>
      </c>
      <c r="AO46" s="35"/>
      <c r="AP46" s="35">
        <f t="shared" si="8"/>
        <v>0</v>
      </c>
      <c r="AQ46" s="35"/>
      <c r="AR46" s="35">
        <v>0</v>
      </c>
      <c r="AS46" s="35"/>
      <c r="AT46" s="35">
        <v>0</v>
      </c>
      <c r="AU46" s="35"/>
      <c r="AV46" s="35">
        <f t="shared" si="4"/>
        <v>0</v>
      </c>
      <c r="AW46" s="35"/>
      <c r="AX46" s="23" t="s">
        <v>41</v>
      </c>
      <c r="AY46" s="35"/>
      <c r="AZ46" s="24">
        <v>0</v>
      </c>
      <c r="BA46" s="35"/>
      <c r="BB46" s="24">
        <v>0</v>
      </c>
      <c r="BC46" s="35"/>
      <c r="BD46" s="24">
        <v>0</v>
      </c>
      <c r="BE46" s="35"/>
      <c r="BF46" s="24">
        <v>0</v>
      </c>
      <c r="BG46" s="35"/>
      <c r="BH46" s="35"/>
      <c r="BI46" s="35"/>
      <c r="BJ46" s="17">
        <f t="shared" si="5"/>
        <v>0</v>
      </c>
    </row>
    <row r="47" spans="1:62" s="36" customFormat="1" ht="12" hidden="1">
      <c r="A47" s="23" t="s">
        <v>42</v>
      </c>
      <c r="B47" s="23"/>
      <c r="C47" s="35">
        <v>0</v>
      </c>
      <c r="D47" s="35"/>
      <c r="E47" s="24">
        <v>0</v>
      </c>
      <c r="F47" s="35"/>
      <c r="G47" s="24">
        <v>0</v>
      </c>
      <c r="H47" s="35"/>
      <c r="I47" s="35">
        <f t="shared" si="10"/>
        <v>0</v>
      </c>
      <c r="J47" s="35"/>
      <c r="K47" s="24">
        <v>0</v>
      </c>
      <c r="L47" s="35"/>
      <c r="M47" s="24">
        <v>0</v>
      </c>
      <c r="N47" s="35"/>
      <c r="O47" s="24">
        <v>0</v>
      </c>
      <c r="P47" s="35"/>
      <c r="Q47" s="24">
        <v>0</v>
      </c>
      <c r="R47" s="35"/>
      <c r="S47" s="24">
        <v>0</v>
      </c>
      <c r="T47" s="35"/>
      <c r="U47" s="35">
        <f t="shared" si="2"/>
        <v>0</v>
      </c>
      <c r="V47" s="35">
        <f t="shared" si="11"/>
        <v>0</v>
      </c>
      <c r="W47" s="35"/>
      <c r="X47" s="23" t="s">
        <v>42</v>
      </c>
      <c r="Y47" s="35"/>
      <c r="Z47" s="24">
        <v>0</v>
      </c>
      <c r="AA47" s="35"/>
      <c r="AB47" s="24">
        <v>0</v>
      </c>
      <c r="AC47" s="35"/>
      <c r="AD47" s="24">
        <v>0</v>
      </c>
      <c r="AE47" s="35"/>
      <c r="AF47" s="35">
        <f t="shared" si="3"/>
        <v>0</v>
      </c>
      <c r="AG47" s="35"/>
      <c r="AH47" s="24">
        <v>0</v>
      </c>
      <c r="AI47" s="35"/>
      <c r="AJ47" s="24">
        <v>0</v>
      </c>
      <c r="AK47" s="35"/>
      <c r="AL47" s="24">
        <v>0</v>
      </c>
      <c r="AM47" s="35"/>
      <c r="AN47" s="24">
        <v>0</v>
      </c>
      <c r="AO47" s="35"/>
      <c r="AP47" s="35">
        <f t="shared" si="8"/>
        <v>0</v>
      </c>
      <c r="AQ47" s="35"/>
      <c r="AR47" s="35">
        <v>0</v>
      </c>
      <c r="AS47" s="35"/>
      <c r="AT47" s="35">
        <v>0</v>
      </c>
      <c r="AU47" s="35"/>
      <c r="AV47" s="35">
        <f t="shared" si="4"/>
        <v>0</v>
      </c>
      <c r="AW47" s="35"/>
      <c r="AX47" s="23" t="s">
        <v>42</v>
      </c>
      <c r="AY47" s="35"/>
      <c r="AZ47" s="24">
        <v>0</v>
      </c>
      <c r="BA47" s="35"/>
      <c r="BB47" s="24">
        <v>0</v>
      </c>
      <c r="BC47" s="35"/>
      <c r="BD47" s="24">
        <v>0</v>
      </c>
      <c r="BE47" s="35"/>
      <c r="BF47" s="24">
        <v>0</v>
      </c>
      <c r="BG47" s="35"/>
      <c r="BH47" s="35"/>
      <c r="BI47" s="35"/>
      <c r="BJ47" s="17">
        <f t="shared" si="5"/>
        <v>0</v>
      </c>
    </row>
    <row r="48" spans="1:62" s="36" customFormat="1" ht="12">
      <c r="A48" s="23" t="s">
        <v>43</v>
      </c>
      <c r="B48" s="23"/>
      <c r="C48" s="35">
        <f t="shared" si="7"/>
        <v>1985675</v>
      </c>
      <c r="D48" s="35"/>
      <c r="E48" s="24">
        <v>8041375</v>
      </c>
      <c r="F48" s="35"/>
      <c r="G48" s="24">
        <v>10027050</v>
      </c>
      <c r="H48" s="35"/>
      <c r="I48" s="35">
        <f t="shared" si="10"/>
        <v>1752849</v>
      </c>
      <c r="J48" s="35"/>
      <c r="K48" s="24">
        <v>4983373</v>
      </c>
      <c r="L48" s="35"/>
      <c r="M48" s="24">
        <v>6736222</v>
      </c>
      <c r="N48" s="35"/>
      <c r="O48" s="24">
        <v>2985144</v>
      </c>
      <c r="P48" s="35"/>
      <c r="Q48" s="24">
        <v>0</v>
      </c>
      <c r="R48" s="35"/>
      <c r="S48" s="24">
        <v>305684</v>
      </c>
      <c r="T48" s="35"/>
      <c r="U48" s="35">
        <f t="shared" si="2"/>
        <v>3290828</v>
      </c>
      <c r="V48" s="35">
        <f t="shared" si="11"/>
        <v>0</v>
      </c>
      <c r="W48" s="35"/>
      <c r="X48" s="23" t="s">
        <v>43</v>
      </c>
      <c r="Y48" s="35"/>
      <c r="Z48" s="24">
        <v>1263068</v>
      </c>
      <c r="AA48" s="35"/>
      <c r="AB48" s="24">
        <f>1046348-219736</f>
        <v>826612</v>
      </c>
      <c r="AC48" s="35"/>
      <c r="AD48" s="24">
        <v>219736</v>
      </c>
      <c r="AE48" s="35"/>
      <c r="AF48" s="35">
        <f t="shared" si="3"/>
        <v>216720</v>
      </c>
      <c r="AG48" s="35"/>
      <c r="AH48" s="24">
        <v>-117393</v>
      </c>
      <c r="AI48" s="35"/>
      <c r="AJ48" s="24">
        <v>0</v>
      </c>
      <c r="AK48" s="35"/>
      <c r="AL48" s="24">
        <v>0</v>
      </c>
      <c r="AM48" s="35"/>
      <c r="AN48" s="24">
        <v>325000</v>
      </c>
      <c r="AO48" s="35"/>
      <c r="AP48" s="35">
        <f t="shared" si="8"/>
        <v>424327</v>
      </c>
      <c r="AQ48" s="35"/>
      <c r="AR48" s="35">
        <v>0</v>
      </c>
      <c r="AS48" s="35"/>
      <c r="AT48" s="35">
        <v>0</v>
      </c>
      <c r="AU48" s="35"/>
      <c r="AV48" s="35">
        <f t="shared" si="4"/>
        <v>232826</v>
      </c>
      <c r="AW48" s="35"/>
      <c r="AX48" s="23" t="s">
        <v>43</v>
      </c>
      <c r="AY48" s="35"/>
      <c r="AZ48" s="24">
        <v>0</v>
      </c>
      <c r="BA48" s="35"/>
      <c r="BB48" s="24">
        <f>2320500</f>
        <v>2320500</v>
      </c>
      <c r="BC48" s="35"/>
      <c r="BD48" s="24">
        <f>1844746+813143</f>
        <v>2657889</v>
      </c>
      <c r="BE48" s="35"/>
      <c r="BF48" s="24">
        <v>4984</v>
      </c>
      <c r="BG48" s="35"/>
      <c r="BH48" s="35"/>
      <c r="BI48" s="35"/>
      <c r="BJ48" s="17">
        <f t="shared" si="5"/>
        <v>4983373</v>
      </c>
    </row>
    <row r="49" spans="1:63" s="36" customFormat="1" ht="12" hidden="1">
      <c r="A49" s="23" t="s">
        <v>44</v>
      </c>
      <c r="B49" s="23"/>
      <c r="C49" s="35">
        <f t="shared" si="7"/>
        <v>0</v>
      </c>
      <c r="D49" s="35"/>
      <c r="E49" s="24">
        <v>0</v>
      </c>
      <c r="F49" s="35"/>
      <c r="G49" s="24">
        <v>0</v>
      </c>
      <c r="H49" s="35"/>
      <c r="I49" s="35">
        <f t="shared" si="10"/>
        <v>0</v>
      </c>
      <c r="J49" s="35"/>
      <c r="K49" s="24">
        <v>0</v>
      </c>
      <c r="L49" s="35"/>
      <c r="M49" s="24">
        <v>0</v>
      </c>
      <c r="N49" s="35"/>
      <c r="O49" s="24">
        <v>0</v>
      </c>
      <c r="P49" s="35"/>
      <c r="Q49" s="24">
        <v>0</v>
      </c>
      <c r="R49" s="35"/>
      <c r="S49" s="24">
        <v>0</v>
      </c>
      <c r="T49" s="35"/>
      <c r="U49" s="35">
        <f t="shared" si="2"/>
        <v>0</v>
      </c>
      <c r="V49" s="35">
        <f t="shared" si="11"/>
        <v>0</v>
      </c>
      <c r="W49" s="35"/>
      <c r="X49" s="23" t="s">
        <v>44</v>
      </c>
      <c r="Y49" s="35"/>
      <c r="Z49" s="24">
        <v>0</v>
      </c>
      <c r="AA49" s="35"/>
      <c r="AB49" s="24">
        <v>0</v>
      </c>
      <c r="AC49" s="35"/>
      <c r="AD49" s="24">
        <v>0</v>
      </c>
      <c r="AE49" s="35"/>
      <c r="AF49" s="35">
        <f t="shared" si="3"/>
        <v>0</v>
      </c>
      <c r="AG49" s="35"/>
      <c r="AH49" s="24">
        <v>0</v>
      </c>
      <c r="AI49" s="35"/>
      <c r="AJ49" s="24">
        <v>0</v>
      </c>
      <c r="AK49" s="35"/>
      <c r="AL49" s="24">
        <v>0</v>
      </c>
      <c r="AM49" s="35"/>
      <c r="AN49" s="24">
        <v>0</v>
      </c>
      <c r="AO49" s="35"/>
      <c r="AP49" s="35">
        <f t="shared" si="8"/>
        <v>0</v>
      </c>
      <c r="AQ49" s="35"/>
      <c r="AR49" s="35">
        <v>0</v>
      </c>
      <c r="AS49" s="35"/>
      <c r="AT49" s="35">
        <v>0</v>
      </c>
      <c r="AU49" s="35"/>
      <c r="AV49" s="35">
        <f t="shared" si="4"/>
        <v>0</v>
      </c>
      <c r="AW49" s="35"/>
      <c r="AX49" s="23" t="s">
        <v>44</v>
      </c>
      <c r="AY49" s="35"/>
      <c r="AZ49" s="24">
        <v>0</v>
      </c>
      <c r="BA49" s="35"/>
      <c r="BB49" s="24">
        <v>0</v>
      </c>
      <c r="BC49" s="35"/>
      <c r="BD49" s="24">
        <v>0</v>
      </c>
      <c r="BE49" s="35"/>
      <c r="BF49" s="24">
        <v>0</v>
      </c>
      <c r="BG49" s="35"/>
      <c r="BH49" s="35"/>
      <c r="BI49" s="35"/>
      <c r="BJ49" s="17">
        <f t="shared" si="5"/>
        <v>0</v>
      </c>
      <c r="BK49" s="17"/>
    </row>
    <row r="50" spans="1:62" s="36" customFormat="1" ht="12" hidden="1">
      <c r="A50" s="23" t="s">
        <v>241</v>
      </c>
      <c r="B50" s="23"/>
      <c r="C50" s="35">
        <f t="shared" si="7"/>
        <v>0</v>
      </c>
      <c r="D50" s="35"/>
      <c r="E50" s="24">
        <v>0</v>
      </c>
      <c r="F50" s="35"/>
      <c r="G50" s="24">
        <v>0</v>
      </c>
      <c r="H50" s="35"/>
      <c r="I50" s="35">
        <f t="shared" si="10"/>
        <v>0</v>
      </c>
      <c r="J50" s="35"/>
      <c r="K50" s="24">
        <v>0</v>
      </c>
      <c r="L50" s="35"/>
      <c r="M50" s="24">
        <v>0</v>
      </c>
      <c r="N50" s="35"/>
      <c r="O50" s="24">
        <v>0</v>
      </c>
      <c r="P50" s="35"/>
      <c r="Q50" s="24">
        <v>0</v>
      </c>
      <c r="R50" s="35"/>
      <c r="S50" s="24">
        <v>0</v>
      </c>
      <c r="T50" s="35"/>
      <c r="U50" s="35">
        <f t="shared" si="2"/>
        <v>0</v>
      </c>
      <c r="V50" s="35">
        <f t="shared" si="11"/>
        <v>0</v>
      </c>
      <c r="W50" s="35"/>
      <c r="X50" s="23" t="s">
        <v>45</v>
      </c>
      <c r="Y50" s="35"/>
      <c r="Z50" s="24">
        <v>0</v>
      </c>
      <c r="AA50" s="35"/>
      <c r="AB50" s="24">
        <v>0</v>
      </c>
      <c r="AC50" s="35"/>
      <c r="AD50" s="24">
        <v>0</v>
      </c>
      <c r="AE50" s="35"/>
      <c r="AF50" s="35">
        <f t="shared" si="3"/>
        <v>0</v>
      </c>
      <c r="AG50" s="35"/>
      <c r="AH50" s="24">
        <v>0</v>
      </c>
      <c r="AI50" s="35"/>
      <c r="AJ50" s="24">
        <v>0</v>
      </c>
      <c r="AK50" s="35"/>
      <c r="AL50" s="24">
        <v>0</v>
      </c>
      <c r="AM50" s="35"/>
      <c r="AN50" s="24">
        <v>0</v>
      </c>
      <c r="AO50" s="35"/>
      <c r="AP50" s="35">
        <f t="shared" si="8"/>
        <v>0</v>
      </c>
      <c r="AQ50" s="35"/>
      <c r="AR50" s="35">
        <v>0</v>
      </c>
      <c r="AS50" s="35"/>
      <c r="AT50" s="35">
        <v>0</v>
      </c>
      <c r="AU50" s="35"/>
      <c r="AV50" s="35">
        <f t="shared" si="4"/>
        <v>0</v>
      </c>
      <c r="AW50" s="35"/>
      <c r="AX50" s="23" t="s">
        <v>45</v>
      </c>
      <c r="AY50" s="35"/>
      <c r="AZ50" s="24">
        <v>0</v>
      </c>
      <c r="BA50" s="35"/>
      <c r="BB50" s="24">
        <v>0</v>
      </c>
      <c r="BC50" s="35"/>
      <c r="BD50" s="24">
        <v>0</v>
      </c>
      <c r="BE50" s="35"/>
      <c r="BF50" s="24">
        <v>0</v>
      </c>
      <c r="BG50" s="35"/>
      <c r="BH50" s="35"/>
      <c r="BI50" s="35"/>
      <c r="BJ50" s="17">
        <f t="shared" si="5"/>
        <v>0</v>
      </c>
    </row>
    <row r="51" spans="1:63" s="36" customFormat="1" ht="12">
      <c r="A51" s="23" t="s">
        <v>46</v>
      </c>
      <c r="B51" s="23"/>
      <c r="C51" s="155">
        <f t="shared" si="7"/>
        <v>3663846</v>
      </c>
      <c r="D51" s="155"/>
      <c r="E51" s="24">
        <v>25057088</v>
      </c>
      <c r="F51" s="155"/>
      <c r="G51" s="24">
        <v>28720934</v>
      </c>
      <c r="H51" s="155"/>
      <c r="I51" s="155">
        <f t="shared" si="10"/>
        <v>1059175</v>
      </c>
      <c r="J51" s="155"/>
      <c r="K51" s="24">
        <v>8953613</v>
      </c>
      <c r="L51" s="155"/>
      <c r="M51" s="24">
        <v>10012788</v>
      </c>
      <c r="N51" s="155"/>
      <c r="O51" s="24">
        <v>15441449</v>
      </c>
      <c r="P51" s="155"/>
      <c r="Q51" s="24">
        <v>0</v>
      </c>
      <c r="R51" s="155"/>
      <c r="S51" s="24">
        <v>3266697</v>
      </c>
      <c r="T51" s="155"/>
      <c r="U51" s="155">
        <f t="shared" si="2"/>
        <v>18708146</v>
      </c>
      <c r="V51" s="155">
        <f t="shared" si="11"/>
        <v>0</v>
      </c>
      <c r="W51" s="155"/>
      <c r="X51" s="133" t="s">
        <v>46</v>
      </c>
      <c r="Y51" s="155"/>
      <c r="Z51" s="24">
        <v>4481947</v>
      </c>
      <c r="AA51" s="155"/>
      <c r="AB51" s="24">
        <f>4609788-1304699</f>
        <v>3305089</v>
      </c>
      <c r="AC51" s="155"/>
      <c r="AD51" s="24">
        <v>1304699</v>
      </c>
      <c r="AE51" s="155"/>
      <c r="AF51" s="155">
        <f t="shared" si="3"/>
        <v>-127841</v>
      </c>
      <c r="AG51" s="155"/>
      <c r="AH51" s="24">
        <v>5526</v>
      </c>
      <c r="AI51" s="155"/>
      <c r="AJ51" s="24">
        <v>0</v>
      </c>
      <c r="AK51" s="155"/>
      <c r="AL51" s="24">
        <v>0</v>
      </c>
      <c r="AM51" s="155"/>
      <c r="AN51" s="24">
        <v>58679</v>
      </c>
      <c r="AO51" s="155"/>
      <c r="AP51" s="155">
        <f t="shared" si="8"/>
        <v>-63636</v>
      </c>
      <c r="AQ51" s="155"/>
      <c r="AR51" s="155">
        <v>0</v>
      </c>
      <c r="AS51" s="155"/>
      <c r="AT51" s="155">
        <v>0</v>
      </c>
      <c r="AU51" s="155"/>
      <c r="AV51" s="155">
        <f t="shared" si="4"/>
        <v>2604671</v>
      </c>
      <c r="AW51" s="155"/>
      <c r="AX51" s="133" t="s">
        <v>46</v>
      </c>
      <c r="AY51" s="155"/>
      <c r="AZ51" s="24">
        <f>1554253</f>
        <v>1554253</v>
      </c>
      <c r="BA51" s="155"/>
      <c r="BB51" s="24">
        <v>0</v>
      </c>
      <c r="BC51" s="155"/>
      <c r="BD51" s="24">
        <f>262072+847629+6248673</f>
        <v>7358374</v>
      </c>
      <c r="BE51" s="155"/>
      <c r="BF51" s="24">
        <f>40986</f>
        <v>40986</v>
      </c>
      <c r="BG51" s="155"/>
      <c r="BH51" s="155"/>
      <c r="BI51" s="155"/>
      <c r="BJ51" s="156">
        <f t="shared" si="5"/>
        <v>8953613</v>
      </c>
      <c r="BK51" s="17"/>
    </row>
    <row r="52" spans="1:63" s="36" customFormat="1" ht="12" hidden="1">
      <c r="A52" s="23" t="s">
        <v>47</v>
      </c>
      <c r="B52" s="23"/>
      <c r="C52" s="155">
        <f t="shared" si="7"/>
        <v>0</v>
      </c>
      <c r="D52" s="155"/>
      <c r="E52" s="24">
        <v>0</v>
      </c>
      <c r="F52" s="155"/>
      <c r="G52" s="24">
        <v>0</v>
      </c>
      <c r="H52" s="155"/>
      <c r="I52" s="155">
        <f t="shared" si="10"/>
        <v>0</v>
      </c>
      <c r="J52" s="155"/>
      <c r="K52" s="24">
        <v>0</v>
      </c>
      <c r="L52" s="155"/>
      <c r="M52" s="24">
        <v>0</v>
      </c>
      <c r="N52" s="155"/>
      <c r="O52" s="24">
        <v>0</v>
      </c>
      <c r="P52" s="155"/>
      <c r="Q52" s="24">
        <v>0</v>
      </c>
      <c r="R52" s="155"/>
      <c r="S52" s="24">
        <v>0</v>
      </c>
      <c r="T52" s="155"/>
      <c r="U52" s="155">
        <f t="shared" si="2"/>
        <v>0</v>
      </c>
      <c r="V52" s="155">
        <f t="shared" si="11"/>
        <v>0</v>
      </c>
      <c r="W52" s="155"/>
      <c r="X52" s="133" t="s">
        <v>47</v>
      </c>
      <c r="Y52" s="155"/>
      <c r="Z52" s="24">
        <v>0</v>
      </c>
      <c r="AA52" s="155"/>
      <c r="AB52" s="24">
        <v>0</v>
      </c>
      <c r="AC52" s="155"/>
      <c r="AD52" s="24">
        <v>0</v>
      </c>
      <c r="AE52" s="155"/>
      <c r="AF52" s="155">
        <f t="shared" si="3"/>
        <v>0</v>
      </c>
      <c r="AG52" s="155"/>
      <c r="AH52" s="24">
        <v>0</v>
      </c>
      <c r="AI52" s="155"/>
      <c r="AJ52" s="24">
        <v>0</v>
      </c>
      <c r="AK52" s="155"/>
      <c r="AL52" s="24">
        <v>0</v>
      </c>
      <c r="AM52" s="155"/>
      <c r="AN52" s="24">
        <v>0</v>
      </c>
      <c r="AO52" s="155"/>
      <c r="AP52" s="155">
        <f t="shared" si="8"/>
        <v>0</v>
      </c>
      <c r="AQ52" s="155"/>
      <c r="AR52" s="155">
        <v>0</v>
      </c>
      <c r="AS52" s="155"/>
      <c r="AT52" s="155">
        <v>0</v>
      </c>
      <c r="AU52" s="155"/>
      <c r="AV52" s="155">
        <f t="shared" si="4"/>
        <v>0</v>
      </c>
      <c r="AW52" s="155"/>
      <c r="AX52" s="133" t="s">
        <v>47</v>
      </c>
      <c r="AY52" s="155"/>
      <c r="AZ52" s="24">
        <v>0</v>
      </c>
      <c r="BA52" s="155"/>
      <c r="BB52" s="24">
        <v>0</v>
      </c>
      <c r="BC52" s="155"/>
      <c r="BD52" s="24">
        <v>0</v>
      </c>
      <c r="BE52" s="155"/>
      <c r="BF52" s="24">
        <v>0</v>
      </c>
      <c r="BG52" s="155"/>
      <c r="BH52" s="155"/>
      <c r="BI52" s="155"/>
      <c r="BJ52" s="156">
        <f t="shared" si="5"/>
        <v>0</v>
      </c>
      <c r="BK52" s="17"/>
    </row>
    <row r="53" spans="1:62" s="36" customFormat="1" ht="12">
      <c r="A53" s="23" t="s">
        <v>48</v>
      </c>
      <c r="B53" s="23"/>
      <c r="C53" s="155">
        <f t="shared" si="7"/>
        <v>17818830</v>
      </c>
      <c r="D53" s="155"/>
      <c r="E53" s="24">
        <v>57993219</v>
      </c>
      <c r="F53" s="155"/>
      <c r="G53" s="24">
        <v>75812049</v>
      </c>
      <c r="H53" s="155"/>
      <c r="I53" s="155">
        <f t="shared" si="10"/>
        <v>5512323</v>
      </c>
      <c r="J53" s="155"/>
      <c r="K53" s="24">
        <v>1029833</v>
      </c>
      <c r="L53" s="155"/>
      <c r="M53" s="24">
        <v>6542156</v>
      </c>
      <c r="N53" s="155"/>
      <c r="O53" s="24">
        <v>57219792</v>
      </c>
      <c r="P53" s="155"/>
      <c r="Q53" s="24">
        <v>0</v>
      </c>
      <c r="R53" s="155"/>
      <c r="S53" s="24">
        <v>12050101</v>
      </c>
      <c r="T53" s="155"/>
      <c r="U53" s="155">
        <f t="shared" si="2"/>
        <v>69269893</v>
      </c>
      <c r="V53" s="155">
        <f t="shared" si="11"/>
        <v>0</v>
      </c>
      <c r="W53" s="155"/>
      <c r="X53" s="133" t="s">
        <v>48</v>
      </c>
      <c r="Y53" s="155"/>
      <c r="Z53" s="24">
        <v>17539824</v>
      </c>
      <c r="AA53" s="155"/>
      <c r="AB53" s="24">
        <f>12715334-2547388</f>
        <v>10167946</v>
      </c>
      <c r="AC53" s="155"/>
      <c r="AD53" s="24">
        <v>2547388</v>
      </c>
      <c r="AE53" s="155"/>
      <c r="AF53" s="155">
        <f t="shared" si="3"/>
        <v>4824490</v>
      </c>
      <c r="AG53" s="155"/>
      <c r="AH53" s="24">
        <v>-41364</v>
      </c>
      <c r="AI53" s="155"/>
      <c r="AJ53" s="24">
        <v>0</v>
      </c>
      <c r="AK53" s="155"/>
      <c r="AL53" s="24">
        <v>50000</v>
      </c>
      <c r="AM53" s="155"/>
      <c r="AN53" s="24">
        <f>757315+24866</f>
        <v>782181</v>
      </c>
      <c r="AO53" s="155"/>
      <c r="AP53" s="155">
        <f t="shared" si="8"/>
        <v>5515307</v>
      </c>
      <c r="AQ53" s="155"/>
      <c r="AR53" s="155">
        <v>0</v>
      </c>
      <c r="AS53" s="155"/>
      <c r="AT53" s="155">
        <v>0</v>
      </c>
      <c r="AU53" s="155"/>
      <c r="AV53" s="155">
        <f t="shared" si="4"/>
        <v>12306507</v>
      </c>
      <c r="AW53" s="155"/>
      <c r="AX53" s="133" t="s">
        <v>48</v>
      </c>
      <c r="AY53" s="155"/>
      <c r="AZ53" s="24">
        <v>0</v>
      </c>
      <c r="BA53" s="155"/>
      <c r="BB53" s="24">
        <v>0</v>
      </c>
      <c r="BC53" s="155"/>
      <c r="BD53" s="24">
        <v>0</v>
      </c>
      <c r="BE53" s="155"/>
      <c r="BF53" s="24">
        <v>1029833</v>
      </c>
      <c r="BG53" s="155"/>
      <c r="BH53" s="155"/>
      <c r="BI53" s="155"/>
      <c r="BJ53" s="156">
        <f t="shared" si="5"/>
        <v>1029833</v>
      </c>
    </row>
    <row r="54" spans="1:62" s="36" customFormat="1" ht="12" hidden="1">
      <c r="A54" s="23" t="s">
        <v>170</v>
      </c>
      <c r="B54" s="23"/>
      <c r="C54" s="155">
        <f t="shared" si="7"/>
        <v>0</v>
      </c>
      <c r="D54" s="155"/>
      <c r="E54" s="24">
        <v>0</v>
      </c>
      <c r="F54" s="155"/>
      <c r="G54" s="24">
        <v>0</v>
      </c>
      <c r="H54" s="155"/>
      <c r="I54" s="155">
        <f t="shared" si="10"/>
        <v>0</v>
      </c>
      <c r="J54" s="155"/>
      <c r="K54" s="24">
        <v>0</v>
      </c>
      <c r="L54" s="155"/>
      <c r="M54" s="24">
        <v>0</v>
      </c>
      <c r="N54" s="155"/>
      <c r="O54" s="24">
        <v>0</v>
      </c>
      <c r="P54" s="155"/>
      <c r="Q54" s="24">
        <v>0</v>
      </c>
      <c r="R54" s="155"/>
      <c r="S54" s="24">
        <v>0</v>
      </c>
      <c r="T54" s="155"/>
      <c r="U54" s="155">
        <f t="shared" si="2"/>
        <v>0</v>
      </c>
      <c r="V54" s="155">
        <f t="shared" si="11"/>
        <v>0</v>
      </c>
      <c r="W54" s="155"/>
      <c r="X54" s="133" t="s">
        <v>223</v>
      </c>
      <c r="Y54" s="155"/>
      <c r="Z54" s="24">
        <v>0</v>
      </c>
      <c r="AA54" s="155"/>
      <c r="AB54" s="24">
        <v>0</v>
      </c>
      <c r="AC54" s="155"/>
      <c r="AD54" s="24">
        <v>0</v>
      </c>
      <c r="AE54" s="155"/>
      <c r="AF54" s="155">
        <f t="shared" si="3"/>
        <v>0</v>
      </c>
      <c r="AG54" s="155"/>
      <c r="AH54" s="24">
        <v>0</v>
      </c>
      <c r="AI54" s="155"/>
      <c r="AJ54" s="24">
        <v>0</v>
      </c>
      <c r="AK54" s="155"/>
      <c r="AL54" s="24">
        <v>0</v>
      </c>
      <c r="AM54" s="155"/>
      <c r="AN54" s="24">
        <v>0</v>
      </c>
      <c r="AO54" s="155"/>
      <c r="AP54" s="155">
        <f t="shared" si="8"/>
        <v>0</v>
      </c>
      <c r="AQ54" s="155"/>
      <c r="AR54" s="155">
        <v>0</v>
      </c>
      <c r="AS54" s="155"/>
      <c r="AT54" s="155">
        <v>0</v>
      </c>
      <c r="AU54" s="155"/>
      <c r="AV54" s="155">
        <f t="shared" si="4"/>
        <v>0</v>
      </c>
      <c r="AW54" s="155"/>
      <c r="AX54" s="133" t="s">
        <v>223</v>
      </c>
      <c r="AY54" s="155"/>
      <c r="AZ54" s="24">
        <v>0</v>
      </c>
      <c r="BA54" s="155"/>
      <c r="BB54" s="24">
        <v>0</v>
      </c>
      <c r="BC54" s="155"/>
      <c r="BD54" s="24">
        <v>0</v>
      </c>
      <c r="BE54" s="155"/>
      <c r="BF54" s="24">
        <v>0</v>
      </c>
      <c r="BG54" s="155"/>
      <c r="BH54" s="155"/>
      <c r="BI54" s="155"/>
      <c r="BJ54" s="156">
        <f t="shared" si="5"/>
        <v>0</v>
      </c>
    </row>
    <row r="55" spans="1:62" s="36" customFormat="1" ht="12">
      <c r="A55" s="23" t="s">
        <v>49</v>
      </c>
      <c r="B55" s="23"/>
      <c r="C55" s="155">
        <f t="shared" si="7"/>
        <v>554348</v>
      </c>
      <c r="D55" s="155"/>
      <c r="E55" s="24">
        <v>1511853</v>
      </c>
      <c r="F55" s="155"/>
      <c r="G55" s="24">
        <v>2066201</v>
      </c>
      <c r="H55" s="155"/>
      <c r="I55" s="155">
        <f t="shared" si="10"/>
        <v>70504</v>
      </c>
      <c r="J55" s="155"/>
      <c r="K55" s="24">
        <v>120000</v>
      </c>
      <c r="L55" s="155"/>
      <c r="M55" s="24">
        <v>190504</v>
      </c>
      <c r="N55" s="155"/>
      <c r="O55" s="24">
        <v>1336853</v>
      </c>
      <c r="P55" s="155"/>
      <c r="Q55" s="24">
        <v>0</v>
      </c>
      <c r="R55" s="155"/>
      <c r="S55" s="24">
        <v>538844</v>
      </c>
      <c r="T55" s="155"/>
      <c r="U55" s="155">
        <f t="shared" si="2"/>
        <v>1875697</v>
      </c>
      <c r="V55" s="155">
        <f t="shared" si="11"/>
        <v>0</v>
      </c>
      <c r="W55" s="155"/>
      <c r="X55" s="133" t="s">
        <v>49</v>
      </c>
      <c r="Y55" s="155"/>
      <c r="Z55" s="24">
        <v>379710</v>
      </c>
      <c r="AA55" s="155"/>
      <c r="AB55" s="24">
        <f>137690-29896</f>
        <v>107794</v>
      </c>
      <c r="AC55" s="155"/>
      <c r="AD55" s="24">
        <v>29896</v>
      </c>
      <c r="AE55" s="155"/>
      <c r="AF55" s="155">
        <f t="shared" si="3"/>
        <v>242020</v>
      </c>
      <c r="AG55" s="155"/>
      <c r="AH55" s="24">
        <v>-10775</v>
      </c>
      <c r="AI55" s="155"/>
      <c r="AJ55" s="24">
        <v>0</v>
      </c>
      <c r="AK55" s="155"/>
      <c r="AL55" s="24">
        <v>123543</v>
      </c>
      <c r="AM55" s="155"/>
      <c r="AN55" s="24">
        <v>396110</v>
      </c>
      <c r="AO55" s="155"/>
      <c r="AP55" s="155">
        <f t="shared" si="8"/>
        <v>503812</v>
      </c>
      <c r="AQ55" s="155"/>
      <c r="AR55" s="155">
        <v>0</v>
      </c>
      <c r="AS55" s="155"/>
      <c r="AT55" s="155">
        <v>0</v>
      </c>
      <c r="AU55" s="155"/>
      <c r="AV55" s="155">
        <f t="shared" si="4"/>
        <v>483844</v>
      </c>
      <c r="AW55" s="155"/>
      <c r="AX55" s="133" t="s">
        <v>49</v>
      </c>
      <c r="AY55" s="155"/>
      <c r="AZ55" s="24">
        <v>120000</v>
      </c>
      <c r="BA55" s="155"/>
      <c r="BB55" s="24">
        <v>0</v>
      </c>
      <c r="BC55" s="155"/>
      <c r="BD55" s="24">
        <v>0</v>
      </c>
      <c r="BE55" s="155"/>
      <c r="BF55" s="24">
        <v>0</v>
      </c>
      <c r="BG55" s="155"/>
      <c r="BH55" s="155"/>
      <c r="BI55" s="155"/>
      <c r="BJ55" s="156">
        <f t="shared" si="5"/>
        <v>120000</v>
      </c>
    </row>
    <row r="56" spans="1:62" s="36" customFormat="1" ht="12">
      <c r="A56" s="23" t="s">
        <v>50</v>
      </c>
      <c r="B56" s="23"/>
      <c r="C56" s="155">
        <f t="shared" si="7"/>
        <v>3522566</v>
      </c>
      <c r="D56" s="155"/>
      <c r="E56" s="24">
        <f>201000+28493093</f>
        <v>28694093</v>
      </c>
      <c r="F56" s="155"/>
      <c r="G56" s="24">
        <v>32216659</v>
      </c>
      <c r="H56" s="155"/>
      <c r="I56" s="155">
        <f t="shared" si="10"/>
        <v>2445493</v>
      </c>
      <c r="J56" s="155"/>
      <c r="K56" s="24">
        <v>14701118</v>
      </c>
      <c r="L56" s="155"/>
      <c r="M56" s="24">
        <v>17146611</v>
      </c>
      <c r="N56" s="155"/>
      <c r="O56" s="24">
        <v>11859013</v>
      </c>
      <c r="P56" s="155"/>
      <c r="Q56" s="24">
        <v>0</v>
      </c>
      <c r="R56" s="155"/>
      <c r="S56" s="24">
        <v>3211035</v>
      </c>
      <c r="T56" s="155"/>
      <c r="U56" s="155">
        <f t="shared" si="2"/>
        <v>15070048</v>
      </c>
      <c r="V56" s="155">
        <f t="shared" si="11"/>
        <v>0</v>
      </c>
      <c r="W56" s="155"/>
      <c r="X56" s="133" t="s">
        <v>50</v>
      </c>
      <c r="Y56" s="155"/>
      <c r="Z56" s="24">
        <v>6323744</v>
      </c>
      <c r="AA56" s="155"/>
      <c r="AB56" s="24">
        <v>6767584</v>
      </c>
      <c r="AC56" s="155"/>
      <c r="AD56" s="24">
        <v>0</v>
      </c>
      <c r="AE56" s="155"/>
      <c r="AF56" s="155">
        <f t="shared" si="3"/>
        <v>-443840</v>
      </c>
      <c r="AG56" s="155"/>
      <c r="AH56" s="24">
        <v>0</v>
      </c>
      <c r="AI56" s="155"/>
      <c r="AJ56" s="24">
        <v>0</v>
      </c>
      <c r="AK56" s="155"/>
      <c r="AL56" s="24">
        <v>225000</v>
      </c>
      <c r="AM56" s="155"/>
      <c r="AN56" s="24">
        <v>0</v>
      </c>
      <c r="AO56" s="155"/>
      <c r="AP56" s="155">
        <f t="shared" si="8"/>
        <v>-668840</v>
      </c>
      <c r="AQ56" s="155"/>
      <c r="AR56" s="155">
        <v>0</v>
      </c>
      <c r="AS56" s="155"/>
      <c r="AT56" s="155">
        <v>0</v>
      </c>
      <c r="AU56" s="155"/>
      <c r="AV56" s="155">
        <f t="shared" si="4"/>
        <v>1077073</v>
      </c>
      <c r="AW56" s="155"/>
      <c r="AX56" s="133" t="s">
        <v>50</v>
      </c>
      <c r="AY56" s="155"/>
      <c r="AZ56" s="24">
        <v>0</v>
      </c>
      <c r="BA56" s="155"/>
      <c r="BB56" s="24">
        <v>14445125</v>
      </c>
      <c r="BC56" s="155"/>
      <c r="BD56" s="24">
        <v>241708</v>
      </c>
      <c r="BE56" s="155"/>
      <c r="BF56" s="24">
        <v>14285</v>
      </c>
      <c r="BG56" s="155"/>
      <c r="BH56" s="155"/>
      <c r="BI56" s="155"/>
      <c r="BJ56" s="156">
        <f t="shared" si="5"/>
        <v>14701118</v>
      </c>
    </row>
    <row r="57" spans="1:62" s="131" customFormat="1" ht="12" hidden="1">
      <c r="A57" s="130" t="s">
        <v>246</v>
      </c>
      <c r="B57" s="130"/>
      <c r="C57" s="155">
        <f t="shared" si="7"/>
        <v>0</v>
      </c>
      <c r="D57" s="155"/>
      <c r="E57" s="24">
        <v>0</v>
      </c>
      <c r="F57" s="155"/>
      <c r="G57" s="24">
        <v>0</v>
      </c>
      <c r="H57" s="157"/>
      <c r="I57" s="157">
        <f t="shared" si="10"/>
        <v>0</v>
      </c>
      <c r="J57" s="157"/>
      <c r="K57" s="24">
        <v>0</v>
      </c>
      <c r="L57" s="157"/>
      <c r="M57" s="24">
        <v>0</v>
      </c>
      <c r="N57" s="155"/>
      <c r="O57" s="24">
        <v>0</v>
      </c>
      <c r="P57" s="155"/>
      <c r="Q57" s="24">
        <v>0</v>
      </c>
      <c r="R57" s="155"/>
      <c r="S57" s="24">
        <v>0</v>
      </c>
      <c r="T57" s="157"/>
      <c r="U57" s="157">
        <f t="shared" si="2"/>
        <v>0</v>
      </c>
      <c r="V57" s="157">
        <f t="shared" si="11"/>
        <v>0</v>
      </c>
      <c r="W57" s="157"/>
      <c r="X57" s="158" t="s">
        <v>51</v>
      </c>
      <c r="Y57" s="157"/>
      <c r="Z57" s="24">
        <v>0</v>
      </c>
      <c r="AA57" s="155"/>
      <c r="AB57" s="24">
        <v>0</v>
      </c>
      <c r="AC57" s="155"/>
      <c r="AD57" s="24">
        <v>0</v>
      </c>
      <c r="AE57" s="157"/>
      <c r="AF57" s="157">
        <f t="shared" si="3"/>
        <v>0</v>
      </c>
      <c r="AG57" s="157"/>
      <c r="AH57" s="24">
        <v>0</v>
      </c>
      <c r="AI57" s="155"/>
      <c r="AJ57" s="24">
        <v>0</v>
      </c>
      <c r="AK57" s="155"/>
      <c r="AL57" s="24">
        <v>0</v>
      </c>
      <c r="AM57" s="155"/>
      <c r="AN57" s="24">
        <v>0</v>
      </c>
      <c r="AO57" s="155"/>
      <c r="AP57" s="155">
        <f t="shared" si="8"/>
        <v>0</v>
      </c>
      <c r="AQ57" s="157"/>
      <c r="AR57" s="157">
        <v>0</v>
      </c>
      <c r="AS57" s="157"/>
      <c r="AT57" s="157">
        <v>0</v>
      </c>
      <c r="AU57" s="157"/>
      <c r="AV57" s="157">
        <f t="shared" si="4"/>
        <v>0</v>
      </c>
      <c r="AW57" s="157"/>
      <c r="AX57" s="158" t="s">
        <v>51</v>
      </c>
      <c r="AY57" s="157"/>
      <c r="AZ57" s="24">
        <v>0</v>
      </c>
      <c r="BA57" s="155"/>
      <c r="BB57" s="24">
        <v>0</v>
      </c>
      <c r="BC57" s="155"/>
      <c r="BD57" s="24">
        <v>0</v>
      </c>
      <c r="BE57" s="155"/>
      <c r="BF57" s="24">
        <v>0</v>
      </c>
      <c r="BG57" s="157"/>
      <c r="BH57" s="157"/>
      <c r="BI57" s="157"/>
      <c r="BJ57" s="159">
        <f t="shared" si="5"/>
        <v>0</v>
      </c>
    </row>
    <row r="58" spans="1:62" s="36" customFormat="1" ht="12">
      <c r="A58" s="23" t="s">
        <v>183</v>
      </c>
      <c r="B58" s="23"/>
      <c r="C58" s="155">
        <f t="shared" si="7"/>
        <v>8444897</v>
      </c>
      <c r="D58" s="155"/>
      <c r="E58" s="24">
        <f>42114861+26851659</f>
        <v>68966520</v>
      </c>
      <c r="F58" s="155"/>
      <c r="G58" s="24">
        <f>44012669+33398748</f>
        <v>77411417</v>
      </c>
      <c r="H58" s="155"/>
      <c r="I58" s="155">
        <f>+M58-K58</f>
        <v>3105944</v>
      </c>
      <c r="J58" s="155"/>
      <c r="K58" s="24">
        <f>3566178+17378643</f>
        <v>20944821</v>
      </c>
      <c r="L58" s="155"/>
      <c r="M58" s="24">
        <f>5657760+18393005</f>
        <v>24050765</v>
      </c>
      <c r="N58" s="155"/>
      <c r="O58" s="24">
        <f>37120011+8869071</f>
        <v>45989082</v>
      </c>
      <c r="P58" s="155"/>
      <c r="Q58" s="24">
        <v>0</v>
      </c>
      <c r="R58" s="155"/>
      <c r="S58" s="24">
        <f>1234898+6136672</f>
        <v>7371570</v>
      </c>
      <c r="T58" s="155"/>
      <c r="U58" s="155">
        <f t="shared" si="2"/>
        <v>53360652</v>
      </c>
      <c r="V58" s="155">
        <f t="shared" si="11"/>
        <v>0</v>
      </c>
      <c r="W58" s="155"/>
      <c r="X58" s="133" t="s">
        <v>183</v>
      </c>
      <c r="Y58" s="155"/>
      <c r="Z58" s="24">
        <f>1820894+8253921</f>
        <v>10074815</v>
      </c>
      <c r="AA58" s="155"/>
      <c r="AB58" s="24">
        <f>3305425+4361321-1794605-848926</f>
        <v>5023215</v>
      </c>
      <c r="AC58" s="155"/>
      <c r="AD58" s="24">
        <f>1794605+848926</f>
        <v>2643531</v>
      </c>
      <c r="AE58" s="155"/>
      <c r="AF58" s="155">
        <f t="shared" si="3"/>
        <v>2408069</v>
      </c>
      <c r="AG58" s="155"/>
      <c r="AH58" s="24">
        <f>-954873-852663</f>
        <v>-1807536</v>
      </c>
      <c r="AI58" s="155"/>
      <c r="AJ58" s="24">
        <v>0</v>
      </c>
      <c r="AK58" s="155"/>
      <c r="AL58" s="24">
        <f>58580+191548</f>
        <v>250128</v>
      </c>
      <c r="AM58" s="155"/>
      <c r="AN58" s="24">
        <v>166928</v>
      </c>
      <c r="AO58" s="155"/>
      <c r="AP58" s="155">
        <f t="shared" si="8"/>
        <v>517333</v>
      </c>
      <c r="AQ58" s="155"/>
      <c r="AR58" s="155">
        <v>0</v>
      </c>
      <c r="AS58" s="155"/>
      <c r="AT58" s="155">
        <v>0</v>
      </c>
      <c r="AU58" s="155"/>
      <c r="AV58" s="155">
        <f t="shared" si="4"/>
        <v>5338953</v>
      </c>
      <c r="AW58" s="155"/>
      <c r="AX58" s="133" t="s">
        <v>183</v>
      </c>
      <c r="AY58" s="155"/>
      <c r="AZ58" s="24">
        <v>0</v>
      </c>
      <c r="BA58" s="155"/>
      <c r="BB58" s="24">
        <v>0</v>
      </c>
      <c r="BC58" s="155"/>
      <c r="BD58" s="24">
        <f>3566178+16330107+993710</f>
        <v>20889995</v>
      </c>
      <c r="BE58" s="155"/>
      <c r="BF58" s="24">
        <v>54826</v>
      </c>
      <c r="BG58" s="155"/>
      <c r="BH58" s="155"/>
      <c r="BI58" s="155"/>
      <c r="BJ58" s="156">
        <f t="shared" si="5"/>
        <v>20944821</v>
      </c>
    </row>
    <row r="59" spans="1:62" s="36" customFormat="1" ht="12" hidden="1">
      <c r="A59" s="23" t="s">
        <v>52</v>
      </c>
      <c r="B59" s="23"/>
      <c r="C59" s="155">
        <f t="shared" si="7"/>
        <v>0</v>
      </c>
      <c r="D59" s="155"/>
      <c r="E59" s="24">
        <v>0</v>
      </c>
      <c r="F59" s="155"/>
      <c r="G59" s="24">
        <v>0</v>
      </c>
      <c r="H59" s="155"/>
      <c r="I59" s="155">
        <f t="shared" si="10"/>
        <v>0</v>
      </c>
      <c r="J59" s="155"/>
      <c r="K59" s="24">
        <v>0</v>
      </c>
      <c r="L59" s="155"/>
      <c r="M59" s="24">
        <v>0</v>
      </c>
      <c r="N59" s="155"/>
      <c r="O59" s="24">
        <v>0</v>
      </c>
      <c r="P59" s="155"/>
      <c r="Q59" s="24">
        <v>0</v>
      </c>
      <c r="R59" s="155"/>
      <c r="S59" s="24">
        <v>0</v>
      </c>
      <c r="T59" s="155"/>
      <c r="U59" s="155">
        <f t="shared" si="2"/>
        <v>0</v>
      </c>
      <c r="V59" s="155">
        <f t="shared" si="11"/>
        <v>0</v>
      </c>
      <c r="W59" s="155"/>
      <c r="X59" s="133" t="s">
        <v>52</v>
      </c>
      <c r="Y59" s="155"/>
      <c r="Z59" s="24">
        <v>0</v>
      </c>
      <c r="AA59" s="155"/>
      <c r="AB59" s="24">
        <v>0</v>
      </c>
      <c r="AC59" s="155"/>
      <c r="AD59" s="24">
        <v>0</v>
      </c>
      <c r="AE59" s="155"/>
      <c r="AF59" s="155">
        <f t="shared" si="3"/>
        <v>0</v>
      </c>
      <c r="AG59" s="155"/>
      <c r="AH59" s="24">
        <v>0</v>
      </c>
      <c r="AI59" s="155"/>
      <c r="AJ59" s="24">
        <v>0</v>
      </c>
      <c r="AK59" s="155"/>
      <c r="AL59" s="24">
        <v>0</v>
      </c>
      <c r="AM59" s="155"/>
      <c r="AN59" s="24">
        <v>0</v>
      </c>
      <c r="AO59" s="155"/>
      <c r="AP59" s="155">
        <f t="shared" si="8"/>
        <v>0</v>
      </c>
      <c r="AQ59" s="155"/>
      <c r="AR59" s="155">
        <v>0</v>
      </c>
      <c r="AS59" s="155"/>
      <c r="AT59" s="155">
        <v>0</v>
      </c>
      <c r="AU59" s="155"/>
      <c r="AV59" s="155">
        <f t="shared" si="4"/>
        <v>0</v>
      </c>
      <c r="AW59" s="155"/>
      <c r="AX59" s="133" t="s">
        <v>52</v>
      </c>
      <c r="AY59" s="155"/>
      <c r="AZ59" s="24">
        <v>0</v>
      </c>
      <c r="BA59" s="155"/>
      <c r="BB59" s="24">
        <v>0</v>
      </c>
      <c r="BC59" s="155"/>
      <c r="BD59" s="24">
        <v>0</v>
      </c>
      <c r="BE59" s="155"/>
      <c r="BF59" s="24">
        <v>0</v>
      </c>
      <c r="BG59" s="155"/>
      <c r="BH59" s="155"/>
      <c r="BI59" s="155"/>
      <c r="BJ59" s="156">
        <f t="shared" si="5"/>
        <v>0</v>
      </c>
    </row>
    <row r="60" spans="1:62" s="36" customFormat="1" ht="12">
      <c r="A60" s="23" t="s">
        <v>53</v>
      </c>
      <c r="B60" s="23"/>
      <c r="C60" s="155">
        <f t="shared" si="7"/>
        <v>869517</v>
      </c>
      <c r="D60" s="155"/>
      <c r="E60" s="24">
        <v>13528285</v>
      </c>
      <c r="F60" s="155"/>
      <c r="G60" s="24">
        <v>14397802</v>
      </c>
      <c r="H60" s="155"/>
      <c r="I60" s="155">
        <f t="shared" si="10"/>
        <v>153924</v>
      </c>
      <c r="J60" s="155"/>
      <c r="K60" s="24">
        <v>4970950</v>
      </c>
      <c r="L60" s="155"/>
      <c r="M60" s="24">
        <v>5124874</v>
      </c>
      <c r="N60" s="155"/>
      <c r="O60" s="24">
        <v>8385644</v>
      </c>
      <c r="P60" s="155"/>
      <c r="Q60" s="24">
        <v>0</v>
      </c>
      <c r="R60" s="155"/>
      <c r="S60" s="24">
        <v>887284</v>
      </c>
      <c r="T60" s="155"/>
      <c r="U60" s="155">
        <f t="shared" si="2"/>
        <v>9272928</v>
      </c>
      <c r="V60" s="155">
        <f t="shared" si="11"/>
        <v>0</v>
      </c>
      <c r="W60" s="155"/>
      <c r="X60" s="133" t="s">
        <v>53</v>
      </c>
      <c r="Y60" s="155"/>
      <c r="Z60" s="24">
        <v>505630</v>
      </c>
      <c r="AA60" s="155"/>
      <c r="AB60" s="24">
        <f>1897406-402978</f>
        <v>1494428</v>
      </c>
      <c r="AC60" s="155"/>
      <c r="AD60" s="24">
        <v>402978</v>
      </c>
      <c r="AE60" s="155"/>
      <c r="AF60" s="155">
        <f t="shared" si="3"/>
        <v>-1391776</v>
      </c>
      <c r="AG60" s="155"/>
      <c r="AH60" s="24">
        <v>-99714</v>
      </c>
      <c r="AI60" s="155"/>
      <c r="AJ60" s="24">
        <v>307263</v>
      </c>
      <c r="AK60" s="155"/>
      <c r="AL60" s="24">
        <v>0</v>
      </c>
      <c r="AM60" s="155"/>
      <c r="AN60" s="24">
        <v>1684564</v>
      </c>
      <c r="AO60" s="155"/>
      <c r="AP60" s="155">
        <f t="shared" si="8"/>
        <v>500337</v>
      </c>
      <c r="AQ60" s="155"/>
      <c r="AR60" s="155">
        <v>0</v>
      </c>
      <c r="AS60" s="155"/>
      <c r="AT60" s="155">
        <v>0</v>
      </c>
      <c r="AU60" s="155"/>
      <c r="AV60" s="155">
        <f t="shared" si="4"/>
        <v>715593</v>
      </c>
      <c r="AW60" s="155"/>
      <c r="AX60" s="133" t="s">
        <v>53</v>
      </c>
      <c r="AY60" s="155"/>
      <c r="AZ60" s="24">
        <v>1352892</v>
      </c>
      <c r="BA60" s="155"/>
      <c r="BB60" s="24">
        <v>3180000</v>
      </c>
      <c r="BC60" s="155"/>
      <c r="BD60" s="24">
        <v>438058</v>
      </c>
      <c r="BE60" s="155"/>
      <c r="BF60" s="24">
        <v>0</v>
      </c>
      <c r="BG60" s="155"/>
      <c r="BH60" s="155"/>
      <c r="BI60" s="155"/>
      <c r="BJ60" s="156">
        <f t="shared" si="5"/>
        <v>4970950</v>
      </c>
    </row>
    <row r="61" spans="1:256" s="36" customFormat="1" ht="12" hidden="1">
      <c r="A61" s="75" t="s">
        <v>54</v>
      </c>
      <c r="B61" s="75"/>
      <c r="C61" s="155">
        <f t="shared" si="7"/>
        <v>0</v>
      </c>
      <c r="D61" s="155"/>
      <c r="E61" s="24">
        <v>0</v>
      </c>
      <c r="F61" s="155"/>
      <c r="G61" s="24">
        <v>0</v>
      </c>
      <c r="H61" s="155"/>
      <c r="I61" s="155">
        <f t="shared" si="10"/>
        <v>0</v>
      </c>
      <c r="J61" s="155"/>
      <c r="K61" s="24">
        <v>0</v>
      </c>
      <c r="L61" s="155"/>
      <c r="M61" s="24">
        <v>0</v>
      </c>
      <c r="N61" s="155"/>
      <c r="O61" s="24">
        <v>0</v>
      </c>
      <c r="P61" s="155"/>
      <c r="Q61" s="24">
        <v>0</v>
      </c>
      <c r="R61" s="155"/>
      <c r="S61" s="24">
        <v>0</v>
      </c>
      <c r="T61" s="155"/>
      <c r="U61" s="155">
        <f t="shared" si="2"/>
        <v>0</v>
      </c>
      <c r="V61" s="155">
        <f t="shared" si="11"/>
        <v>0</v>
      </c>
      <c r="W61" s="155"/>
      <c r="X61" s="160" t="s">
        <v>54</v>
      </c>
      <c r="Y61" s="155"/>
      <c r="Z61" s="24">
        <v>0</v>
      </c>
      <c r="AA61" s="155"/>
      <c r="AB61" s="24">
        <v>0</v>
      </c>
      <c r="AC61" s="155"/>
      <c r="AD61" s="24">
        <v>0</v>
      </c>
      <c r="AE61" s="155"/>
      <c r="AF61" s="155">
        <f t="shared" si="3"/>
        <v>0</v>
      </c>
      <c r="AG61" s="155"/>
      <c r="AH61" s="24">
        <v>0</v>
      </c>
      <c r="AI61" s="155"/>
      <c r="AJ61" s="24">
        <v>0</v>
      </c>
      <c r="AK61" s="155"/>
      <c r="AL61" s="24">
        <v>0</v>
      </c>
      <c r="AM61" s="155"/>
      <c r="AN61" s="24">
        <v>0</v>
      </c>
      <c r="AO61" s="155"/>
      <c r="AP61" s="155">
        <f t="shared" si="8"/>
        <v>0</v>
      </c>
      <c r="AQ61" s="155"/>
      <c r="AR61" s="155">
        <v>0</v>
      </c>
      <c r="AS61" s="155"/>
      <c r="AT61" s="155">
        <v>0</v>
      </c>
      <c r="AU61" s="155"/>
      <c r="AV61" s="155">
        <f t="shared" si="4"/>
        <v>0</v>
      </c>
      <c r="AW61" s="155"/>
      <c r="AX61" s="160" t="s">
        <v>54</v>
      </c>
      <c r="AY61" s="155"/>
      <c r="AZ61" s="24">
        <v>0</v>
      </c>
      <c r="BA61" s="155"/>
      <c r="BB61" s="24">
        <v>0</v>
      </c>
      <c r="BC61" s="155"/>
      <c r="BD61" s="24">
        <v>0</v>
      </c>
      <c r="BE61" s="155"/>
      <c r="BF61" s="24">
        <v>0</v>
      </c>
      <c r="BG61" s="155"/>
      <c r="BH61" s="155"/>
      <c r="BI61" s="155"/>
      <c r="BJ61" s="156">
        <f t="shared" si="5"/>
        <v>0</v>
      </c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</row>
    <row r="62" spans="1:62" s="36" customFormat="1" ht="12">
      <c r="A62" s="23" t="s">
        <v>55</v>
      </c>
      <c r="B62" s="23"/>
      <c r="C62" s="155">
        <f t="shared" si="7"/>
        <v>1998719</v>
      </c>
      <c r="D62" s="155"/>
      <c r="E62" s="24">
        <v>106235812</v>
      </c>
      <c r="F62" s="155"/>
      <c r="G62" s="24">
        <v>108234531</v>
      </c>
      <c r="H62" s="155"/>
      <c r="I62" s="155">
        <f t="shared" si="10"/>
        <v>4111395</v>
      </c>
      <c r="J62" s="155"/>
      <c r="K62" s="24">
        <v>45206197</v>
      </c>
      <c r="L62" s="155"/>
      <c r="M62" s="24">
        <v>49317592</v>
      </c>
      <c r="N62" s="155"/>
      <c r="O62" s="24">
        <v>58479017</v>
      </c>
      <c r="P62" s="155"/>
      <c r="Q62" s="24">
        <v>0</v>
      </c>
      <c r="R62" s="155"/>
      <c r="S62" s="24">
        <v>437922</v>
      </c>
      <c r="T62" s="155"/>
      <c r="U62" s="155">
        <f t="shared" si="2"/>
        <v>58916939</v>
      </c>
      <c r="V62" s="155">
        <f t="shared" si="11"/>
        <v>0</v>
      </c>
      <c r="W62" s="155"/>
      <c r="X62" s="133" t="s">
        <v>55</v>
      </c>
      <c r="Y62" s="155"/>
      <c r="Z62" s="24">
        <v>6884241</v>
      </c>
      <c r="AA62" s="155"/>
      <c r="AB62" s="24">
        <f>6804239-2497198</f>
        <v>4307041</v>
      </c>
      <c r="AC62" s="155"/>
      <c r="AD62" s="24">
        <v>2497198</v>
      </c>
      <c r="AE62" s="155"/>
      <c r="AF62" s="155">
        <f t="shared" si="3"/>
        <v>80002</v>
      </c>
      <c r="AG62" s="155"/>
      <c r="AH62" s="24">
        <v>-1471524</v>
      </c>
      <c r="AI62" s="155"/>
      <c r="AJ62" s="24">
        <v>0</v>
      </c>
      <c r="AK62" s="155"/>
      <c r="AL62" s="24">
        <v>0</v>
      </c>
      <c r="AM62" s="155"/>
      <c r="AN62" s="24">
        <v>930911</v>
      </c>
      <c r="AO62" s="155"/>
      <c r="AP62" s="155">
        <f t="shared" si="8"/>
        <v>-460611</v>
      </c>
      <c r="AQ62" s="155"/>
      <c r="AR62" s="155">
        <v>0</v>
      </c>
      <c r="AS62" s="155"/>
      <c r="AT62" s="155">
        <v>0</v>
      </c>
      <c r="AU62" s="155"/>
      <c r="AV62" s="155">
        <f t="shared" si="4"/>
        <v>-2112676</v>
      </c>
      <c r="AW62" s="155"/>
      <c r="AX62" s="133" t="s">
        <v>55</v>
      </c>
      <c r="AY62" s="155"/>
      <c r="AZ62" s="24">
        <v>79945</v>
      </c>
      <c r="BA62" s="155"/>
      <c r="BB62" s="24">
        <v>0</v>
      </c>
      <c r="BC62" s="155"/>
      <c r="BD62" s="24">
        <f>44840090+167944</f>
        <v>45008034</v>
      </c>
      <c r="BE62" s="155"/>
      <c r="BF62" s="24">
        <v>118218</v>
      </c>
      <c r="BG62" s="155"/>
      <c r="BH62" s="155"/>
      <c r="BI62" s="155"/>
      <c r="BJ62" s="156">
        <f t="shared" si="5"/>
        <v>45206197</v>
      </c>
    </row>
    <row r="63" spans="1:62" s="36" customFormat="1" ht="12" hidden="1">
      <c r="A63" s="23" t="s">
        <v>171</v>
      </c>
      <c r="B63" s="23"/>
      <c r="C63" s="155">
        <f t="shared" si="7"/>
        <v>0</v>
      </c>
      <c r="D63" s="155"/>
      <c r="E63" s="24">
        <v>0</v>
      </c>
      <c r="F63" s="155"/>
      <c r="G63" s="24">
        <v>0</v>
      </c>
      <c r="H63" s="155"/>
      <c r="I63" s="155">
        <f t="shared" si="10"/>
        <v>0</v>
      </c>
      <c r="J63" s="155"/>
      <c r="K63" s="24">
        <v>0</v>
      </c>
      <c r="L63" s="155"/>
      <c r="M63" s="24">
        <v>0</v>
      </c>
      <c r="N63" s="155"/>
      <c r="O63" s="24">
        <v>0</v>
      </c>
      <c r="P63" s="155"/>
      <c r="Q63" s="24">
        <v>0</v>
      </c>
      <c r="R63" s="155"/>
      <c r="S63" s="24">
        <v>0</v>
      </c>
      <c r="T63" s="155"/>
      <c r="U63" s="155">
        <f t="shared" si="2"/>
        <v>0</v>
      </c>
      <c r="V63" s="155">
        <f t="shared" si="11"/>
        <v>0</v>
      </c>
      <c r="W63" s="155"/>
      <c r="X63" s="133" t="s">
        <v>171</v>
      </c>
      <c r="Y63" s="155"/>
      <c r="Z63" s="24">
        <v>0</v>
      </c>
      <c r="AA63" s="155"/>
      <c r="AB63" s="24">
        <v>0</v>
      </c>
      <c r="AC63" s="155"/>
      <c r="AD63" s="24">
        <v>0</v>
      </c>
      <c r="AE63" s="155"/>
      <c r="AF63" s="155">
        <f t="shared" si="3"/>
        <v>0</v>
      </c>
      <c r="AG63" s="155"/>
      <c r="AH63" s="24">
        <v>0</v>
      </c>
      <c r="AI63" s="155"/>
      <c r="AJ63" s="24">
        <v>0</v>
      </c>
      <c r="AK63" s="155"/>
      <c r="AL63" s="24">
        <v>0</v>
      </c>
      <c r="AM63" s="155"/>
      <c r="AN63" s="24">
        <v>0</v>
      </c>
      <c r="AO63" s="155"/>
      <c r="AP63" s="155">
        <f t="shared" si="8"/>
        <v>0</v>
      </c>
      <c r="AQ63" s="155"/>
      <c r="AR63" s="155">
        <v>0</v>
      </c>
      <c r="AS63" s="155"/>
      <c r="AT63" s="155">
        <v>0</v>
      </c>
      <c r="AU63" s="155"/>
      <c r="AV63" s="155">
        <f t="shared" si="4"/>
        <v>0</v>
      </c>
      <c r="AW63" s="155"/>
      <c r="AX63" s="133" t="s">
        <v>171</v>
      </c>
      <c r="AY63" s="155"/>
      <c r="AZ63" s="24">
        <v>0</v>
      </c>
      <c r="BA63" s="155"/>
      <c r="BB63" s="24">
        <v>0</v>
      </c>
      <c r="BC63" s="155"/>
      <c r="BD63" s="24">
        <v>0</v>
      </c>
      <c r="BE63" s="155"/>
      <c r="BF63" s="24">
        <v>0</v>
      </c>
      <c r="BG63" s="155"/>
      <c r="BH63" s="155"/>
      <c r="BI63" s="155"/>
      <c r="BJ63" s="156">
        <f t="shared" si="5"/>
        <v>0</v>
      </c>
    </row>
    <row r="64" spans="1:62" s="36" customFormat="1" ht="12" hidden="1">
      <c r="A64" s="23" t="s">
        <v>56</v>
      </c>
      <c r="B64" s="23"/>
      <c r="C64" s="155">
        <f t="shared" si="7"/>
        <v>0</v>
      </c>
      <c r="D64" s="155"/>
      <c r="E64" s="24">
        <v>0</v>
      </c>
      <c r="F64" s="155"/>
      <c r="G64" s="24">
        <v>0</v>
      </c>
      <c r="H64" s="155"/>
      <c r="I64" s="155">
        <f t="shared" si="10"/>
        <v>0</v>
      </c>
      <c r="J64" s="155"/>
      <c r="K64" s="24">
        <v>0</v>
      </c>
      <c r="L64" s="155"/>
      <c r="M64" s="24">
        <v>0</v>
      </c>
      <c r="N64" s="155"/>
      <c r="O64" s="24">
        <v>0</v>
      </c>
      <c r="P64" s="155"/>
      <c r="Q64" s="24">
        <v>0</v>
      </c>
      <c r="R64" s="155"/>
      <c r="S64" s="24">
        <v>0</v>
      </c>
      <c r="T64" s="155"/>
      <c r="U64" s="155">
        <f t="shared" si="2"/>
        <v>0</v>
      </c>
      <c r="V64" s="155">
        <f t="shared" si="11"/>
        <v>0</v>
      </c>
      <c r="W64" s="155"/>
      <c r="X64" s="133" t="s">
        <v>56</v>
      </c>
      <c r="Y64" s="155"/>
      <c r="Z64" s="24">
        <v>0</v>
      </c>
      <c r="AA64" s="155"/>
      <c r="AB64" s="24">
        <v>0</v>
      </c>
      <c r="AC64" s="155"/>
      <c r="AD64" s="24">
        <v>0</v>
      </c>
      <c r="AE64" s="155"/>
      <c r="AF64" s="155">
        <f t="shared" si="3"/>
        <v>0</v>
      </c>
      <c r="AG64" s="155"/>
      <c r="AH64" s="24">
        <v>0</v>
      </c>
      <c r="AI64" s="155"/>
      <c r="AJ64" s="24">
        <v>0</v>
      </c>
      <c r="AK64" s="155"/>
      <c r="AL64" s="24">
        <v>0</v>
      </c>
      <c r="AM64" s="155"/>
      <c r="AN64" s="24">
        <v>0</v>
      </c>
      <c r="AO64" s="155"/>
      <c r="AP64" s="155">
        <f t="shared" si="8"/>
        <v>0</v>
      </c>
      <c r="AQ64" s="155"/>
      <c r="AR64" s="155">
        <v>0</v>
      </c>
      <c r="AS64" s="155"/>
      <c r="AT64" s="155">
        <v>0</v>
      </c>
      <c r="AU64" s="155"/>
      <c r="AV64" s="155">
        <f t="shared" si="4"/>
        <v>0</v>
      </c>
      <c r="AW64" s="155"/>
      <c r="AX64" s="133" t="s">
        <v>56</v>
      </c>
      <c r="AY64" s="155"/>
      <c r="AZ64" s="24">
        <v>0</v>
      </c>
      <c r="BA64" s="155"/>
      <c r="BB64" s="24">
        <v>0</v>
      </c>
      <c r="BC64" s="155"/>
      <c r="BD64" s="24">
        <v>0</v>
      </c>
      <c r="BE64" s="155"/>
      <c r="BF64" s="24">
        <v>0</v>
      </c>
      <c r="BG64" s="155"/>
      <c r="BH64" s="155"/>
      <c r="BI64" s="155"/>
      <c r="BJ64" s="156">
        <f t="shared" si="5"/>
        <v>0</v>
      </c>
    </row>
    <row r="65" spans="1:62" s="36" customFormat="1" ht="12">
      <c r="A65" s="23" t="s">
        <v>57</v>
      </c>
      <c r="B65" s="23"/>
      <c r="C65" s="155">
        <f t="shared" si="7"/>
        <v>408689</v>
      </c>
      <c r="D65" s="155"/>
      <c r="E65" s="24">
        <v>4969170</v>
      </c>
      <c r="F65" s="155"/>
      <c r="G65" s="24">
        <v>5377859</v>
      </c>
      <c r="H65" s="155"/>
      <c r="I65" s="155">
        <f t="shared" si="10"/>
        <v>1188686</v>
      </c>
      <c r="J65" s="155"/>
      <c r="K65" s="24">
        <v>2336253</v>
      </c>
      <c r="L65" s="155"/>
      <c r="M65" s="24">
        <v>3524939</v>
      </c>
      <c r="N65" s="155"/>
      <c r="O65" s="24">
        <v>1999818</v>
      </c>
      <c r="P65" s="155"/>
      <c r="Q65" s="24">
        <v>0</v>
      </c>
      <c r="R65" s="155"/>
      <c r="S65" s="24">
        <v>-146898</v>
      </c>
      <c r="T65" s="155"/>
      <c r="U65" s="155">
        <f t="shared" si="2"/>
        <v>1852920</v>
      </c>
      <c r="V65" s="155">
        <f>G65-M65-U65</f>
        <v>0</v>
      </c>
      <c r="W65" s="155"/>
      <c r="X65" s="133" t="s">
        <v>57</v>
      </c>
      <c r="Y65" s="155"/>
      <c r="Z65" s="24">
        <v>1514081</v>
      </c>
      <c r="AA65" s="155"/>
      <c r="AB65" s="24">
        <f>1354733-186925</f>
        <v>1167808</v>
      </c>
      <c r="AC65" s="155"/>
      <c r="AD65" s="24">
        <v>186925</v>
      </c>
      <c r="AE65" s="155"/>
      <c r="AF65" s="155">
        <f t="shared" si="3"/>
        <v>159348</v>
      </c>
      <c r="AG65" s="155"/>
      <c r="AH65" s="24">
        <v>-27564</v>
      </c>
      <c r="AI65" s="155"/>
      <c r="AJ65" s="24">
        <v>0</v>
      </c>
      <c r="AK65" s="155"/>
      <c r="AL65" s="24">
        <v>0</v>
      </c>
      <c r="AM65" s="155"/>
      <c r="AN65" s="24">
        <v>26579</v>
      </c>
      <c r="AO65" s="155"/>
      <c r="AP65" s="155">
        <f t="shared" si="8"/>
        <v>158363</v>
      </c>
      <c r="AQ65" s="155"/>
      <c r="AR65" s="155">
        <v>0</v>
      </c>
      <c r="AS65" s="155"/>
      <c r="AT65" s="155">
        <v>0</v>
      </c>
      <c r="AU65" s="155"/>
      <c r="AV65" s="155">
        <f t="shared" si="4"/>
        <v>-779997</v>
      </c>
      <c r="AW65" s="155"/>
      <c r="AX65" s="133" t="s">
        <v>57</v>
      </c>
      <c r="AY65" s="155"/>
      <c r="AZ65" s="24">
        <f>1939003</f>
        <v>1939003</v>
      </c>
      <c r="BA65" s="155"/>
      <c r="BB65" s="24">
        <v>0</v>
      </c>
      <c r="BC65" s="155"/>
      <c r="BD65" s="24">
        <v>390000</v>
      </c>
      <c r="BE65" s="155"/>
      <c r="BF65" s="24">
        <v>7250</v>
      </c>
      <c r="BG65" s="155"/>
      <c r="BH65" s="155"/>
      <c r="BI65" s="155"/>
      <c r="BJ65" s="156">
        <f t="shared" si="5"/>
        <v>2336253</v>
      </c>
    </row>
    <row r="66" spans="1:62" s="36" customFormat="1" ht="12" hidden="1">
      <c r="A66" s="23" t="s">
        <v>58</v>
      </c>
      <c r="B66" s="23"/>
      <c r="C66" s="35">
        <f t="shared" si="7"/>
        <v>0</v>
      </c>
      <c r="D66" s="35"/>
      <c r="E66" s="24">
        <v>0</v>
      </c>
      <c r="F66" s="35"/>
      <c r="G66" s="24">
        <v>0</v>
      </c>
      <c r="H66" s="35"/>
      <c r="I66" s="35">
        <f t="shared" si="10"/>
        <v>0</v>
      </c>
      <c r="J66" s="35"/>
      <c r="K66" s="24">
        <v>0</v>
      </c>
      <c r="L66" s="35"/>
      <c r="M66" s="24">
        <v>0</v>
      </c>
      <c r="N66" s="35"/>
      <c r="O66" s="24">
        <v>0</v>
      </c>
      <c r="P66" s="35"/>
      <c r="Q66" s="24">
        <v>0</v>
      </c>
      <c r="R66" s="35"/>
      <c r="S66" s="24">
        <v>0</v>
      </c>
      <c r="T66" s="35"/>
      <c r="U66" s="35">
        <f t="shared" si="2"/>
        <v>0</v>
      </c>
      <c r="V66" s="35">
        <f t="shared" si="11"/>
        <v>0</v>
      </c>
      <c r="W66" s="35"/>
      <c r="X66" s="23" t="s">
        <v>58</v>
      </c>
      <c r="Y66" s="35"/>
      <c r="Z66" s="24">
        <v>0</v>
      </c>
      <c r="AA66" s="35"/>
      <c r="AB66" s="24">
        <v>0</v>
      </c>
      <c r="AC66" s="35"/>
      <c r="AD66" s="24">
        <v>0</v>
      </c>
      <c r="AE66" s="35"/>
      <c r="AF66" s="35">
        <f t="shared" si="3"/>
        <v>0</v>
      </c>
      <c r="AG66" s="35"/>
      <c r="AH66" s="24">
        <v>0</v>
      </c>
      <c r="AI66" s="35"/>
      <c r="AJ66" s="24">
        <v>0</v>
      </c>
      <c r="AK66" s="35"/>
      <c r="AL66" s="24">
        <v>0</v>
      </c>
      <c r="AM66" s="35"/>
      <c r="AN66" s="24">
        <v>0</v>
      </c>
      <c r="AO66" s="35"/>
      <c r="AP66" s="35">
        <f t="shared" si="8"/>
        <v>0</v>
      </c>
      <c r="AQ66" s="35"/>
      <c r="AR66" s="35">
        <v>0</v>
      </c>
      <c r="AS66" s="35"/>
      <c r="AT66" s="35">
        <v>0</v>
      </c>
      <c r="AU66" s="35"/>
      <c r="AV66" s="35">
        <f t="shared" si="4"/>
        <v>0</v>
      </c>
      <c r="AW66" s="35"/>
      <c r="AX66" s="23" t="s">
        <v>58</v>
      </c>
      <c r="AY66" s="35"/>
      <c r="AZ66" s="24">
        <v>0</v>
      </c>
      <c r="BA66" s="35"/>
      <c r="BB66" s="24">
        <v>0</v>
      </c>
      <c r="BC66" s="35"/>
      <c r="BD66" s="24">
        <v>0</v>
      </c>
      <c r="BE66" s="35"/>
      <c r="BF66" s="24">
        <v>0</v>
      </c>
      <c r="BG66" s="35"/>
      <c r="BH66" s="35"/>
      <c r="BI66" s="35"/>
      <c r="BJ66" s="17">
        <f t="shared" si="5"/>
        <v>0</v>
      </c>
    </row>
    <row r="67" spans="1:63" s="36" customFormat="1" ht="12">
      <c r="A67" s="23" t="s">
        <v>59</v>
      </c>
      <c r="B67" s="23"/>
      <c r="C67" s="35">
        <f t="shared" si="7"/>
        <v>109887595</v>
      </c>
      <c r="D67" s="35"/>
      <c r="E67" s="24">
        <f>114147585+205214285</f>
        <v>319361870</v>
      </c>
      <c r="F67" s="35"/>
      <c r="G67" s="24">
        <f>171274507+257974958</f>
        <v>429249465</v>
      </c>
      <c r="H67" s="35"/>
      <c r="I67" s="35">
        <f t="shared" si="10"/>
        <v>27595054</v>
      </c>
      <c r="J67" s="35"/>
      <c r="K67" s="24">
        <f>30268629+62585469</f>
        <v>92854098</v>
      </c>
      <c r="L67" s="35"/>
      <c r="M67" s="24">
        <f>40725380+79723772</f>
        <v>120449152</v>
      </c>
      <c r="N67" s="35"/>
      <c r="O67" s="24">
        <f>79575360+135850204</f>
        <v>215425564</v>
      </c>
      <c r="P67" s="35"/>
      <c r="Q67" s="24">
        <f>3252166+4490431+2737890+3026780</f>
        <v>13507267</v>
      </c>
      <c r="R67" s="35"/>
      <c r="S67" s="24">
        <f>43231170+36636312</f>
        <v>79867482</v>
      </c>
      <c r="T67" s="35"/>
      <c r="U67" s="35">
        <f t="shared" si="2"/>
        <v>308800313</v>
      </c>
      <c r="V67" s="35">
        <f t="shared" si="11"/>
        <v>0</v>
      </c>
      <c r="W67" s="35"/>
      <c r="X67" s="23" t="s">
        <v>59</v>
      </c>
      <c r="Y67" s="35"/>
      <c r="Z67" s="24">
        <f>35411889+41652693</f>
        <v>77064582</v>
      </c>
      <c r="AA67" s="35"/>
      <c r="AB67" s="24">
        <f>33312027+41295735-4506855-8314039</f>
        <v>61786868</v>
      </c>
      <c r="AC67" s="35"/>
      <c r="AD67" s="24">
        <f>4506855+8314039</f>
        <v>12820894</v>
      </c>
      <c r="AE67" s="35"/>
      <c r="AF67" s="35">
        <f t="shared" si="3"/>
        <v>2456820</v>
      </c>
      <c r="AG67" s="35"/>
      <c r="AH67" s="24">
        <f>-1143816-2788686</f>
        <v>-3932502</v>
      </c>
      <c r="AI67" s="35"/>
      <c r="AJ67" s="24">
        <f>2507+511</f>
        <v>3018</v>
      </c>
      <c r="AK67" s="35"/>
      <c r="AL67" s="24">
        <f>-9533-42375</f>
        <v>-51908</v>
      </c>
      <c r="AM67" s="35"/>
      <c r="AN67" s="24">
        <f>748470+872400</f>
        <v>1620870</v>
      </c>
      <c r="AO67" s="35"/>
      <c r="AP67" s="35">
        <f t="shared" si="8"/>
        <v>200114</v>
      </c>
      <c r="AQ67" s="35"/>
      <c r="AR67" s="35">
        <v>0</v>
      </c>
      <c r="AS67" s="35"/>
      <c r="AT67" s="35">
        <v>0</v>
      </c>
      <c r="AU67" s="35"/>
      <c r="AV67" s="35">
        <f>C67-I67</f>
        <v>82292541</v>
      </c>
      <c r="AW67" s="35"/>
      <c r="AX67" s="23" t="s">
        <v>59</v>
      </c>
      <c r="AY67" s="35"/>
      <c r="AZ67" s="24">
        <f>1233424+11013122</f>
        <v>12246546</v>
      </c>
      <c r="BA67" s="35"/>
      <c r="BB67" s="24">
        <f>21173434</f>
        <v>21173434</v>
      </c>
      <c r="BC67" s="35"/>
      <c r="BD67" s="24">
        <v>0</v>
      </c>
      <c r="BE67" s="35"/>
      <c r="BF67" s="24">
        <f>5748688+48776710+293754+582372</f>
        <v>55401524</v>
      </c>
      <c r="BG67" s="35"/>
      <c r="BH67" s="35"/>
      <c r="BI67" s="35"/>
      <c r="BJ67" s="17">
        <f t="shared" si="5"/>
        <v>88821504</v>
      </c>
      <c r="BK67" s="17"/>
    </row>
    <row r="68" spans="1:62" s="36" customFormat="1" ht="12" hidden="1">
      <c r="A68" s="23" t="s">
        <v>60</v>
      </c>
      <c r="B68" s="23"/>
      <c r="C68" s="35">
        <f t="shared" si="7"/>
        <v>0</v>
      </c>
      <c r="D68" s="35"/>
      <c r="E68" s="24">
        <v>0</v>
      </c>
      <c r="F68" s="35"/>
      <c r="G68" s="24">
        <v>0</v>
      </c>
      <c r="H68" s="35"/>
      <c r="I68" s="35">
        <f t="shared" si="10"/>
        <v>0</v>
      </c>
      <c r="J68" s="35"/>
      <c r="K68" s="24">
        <v>0</v>
      </c>
      <c r="L68" s="35"/>
      <c r="M68" s="24">
        <v>0</v>
      </c>
      <c r="N68" s="35"/>
      <c r="O68" s="24">
        <v>0</v>
      </c>
      <c r="P68" s="35"/>
      <c r="Q68" s="24">
        <v>0</v>
      </c>
      <c r="R68" s="35"/>
      <c r="S68" s="24">
        <v>0</v>
      </c>
      <c r="T68" s="35"/>
      <c r="U68" s="35">
        <f t="shared" si="2"/>
        <v>0</v>
      </c>
      <c r="V68" s="35">
        <f t="shared" si="11"/>
        <v>0</v>
      </c>
      <c r="W68" s="35"/>
      <c r="X68" s="23" t="s">
        <v>60</v>
      </c>
      <c r="Y68" s="35"/>
      <c r="Z68" s="24">
        <v>0</v>
      </c>
      <c r="AA68" s="35"/>
      <c r="AB68" s="24">
        <v>0</v>
      </c>
      <c r="AC68" s="35"/>
      <c r="AD68" s="24">
        <v>0</v>
      </c>
      <c r="AE68" s="35"/>
      <c r="AF68" s="35">
        <f t="shared" si="3"/>
        <v>0</v>
      </c>
      <c r="AG68" s="35"/>
      <c r="AH68" s="24">
        <v>0</v>
      </c>
      <c r="AI68" s="35"/>
      <c r="AJ68" s="24">
        <v>0</v>
      </c>
      <c r="AK68" s="35"/>
      <c r="AL68" s="24">
        <v>0</v>
      </c>
      <c r="AM68" s="35"/>
      <c r="AN68" s="24">
        <v>0</v>
      </c>
      <c r="AO68" s="35"/>
      <c r="AP68" s="35">
        <f t="shared" si="8"/>
        <v>0</v>
      </c>
      <c r="AQ68" s="35"/>
      <c r="AR68" s="35">
        <v>0</v>
      </c>
      <c r="AS68" s="35"/>
      <c r="AT68" s="35">
        <v>0</v>
      </c>
      <c r="AU68" s="35"/>
      <c r="AV68" s="35">
        <f t="shared" si="4"/>
        <v>0</v>
      </c>
      <c r="AW68" s="35"/>
      <c r="AX68" s="23" t="s">
        <v>60</v>
      </c>
      <c r="AY68" s="35"/>
      <c r="AZ68" s="24">
        <v>0</v>
      </c>
      <c r="BA68" s="35"/>
      <c r="BB68" s="24">
        <v>0</v>
      </c>
      <c r="BC68" s="35"/>
      <c r="BD68" s="24">
        <v>0</v>
      </c>
      <c r="BE68" s="35"/>
      <c r="BF68" s="24">
        <v>0</v>
      </c>
      <c r="BG68" s="35"/>
      <c r="BH68" s="35"/>
      <c r="BI68" s="35"/>
      <c r="BJ68" s="17">
        <f t="shared" si="5"/>
        <v>0</v>
      </c>
    </row>
    <row r="69" spans="1:62" s="36" customFormat="1" ht="12" hidden="1">
      <c r="A69" s="23" t="s">
        <v>97</v>
      </c>
      <c r="B69" s="23"/>
      <c r="C69" s="35">
        <f t="shared" si="7"/>
        <v>0</v>
      </c>
      <c r="D69" s="35"/>
      <c r="E69" s="24">
        <v>0</v>
      </c>
      <c r="F69" s="35"/>
      <c r="G69" s="24">
        <v>0</v>
      </c>
      <c r="H69" s="35"/>
      <c r="I69" s="35">
        <f t="shared" si="10"/>
        <v>0</v>
      </c>
      <c r="J69" s="35"/>
      <c r="K69" s="24">
        <v>0</v>
      </c>
      <c r="L69" s="35"/>
      <c r="M69" s="24">
        <v>0</v>
      </c>
      <c r="N69" s="35"/>
      <c r="O69" s="24">
        <v>0</v>
      </c>
      <c r="P69" s="35"/>
      <c r="Q69" s="24">
        <v>0</v>
      </c>
      <c r="R69" s="35"/>
      <c r="S69" s="24">
        <v>0</v>
      </c>
      <c r="T69" s="35"/>
      <c r="U69" s="35">
        <f t="shared" si="2"/>
        <v>0</v>
      </c>
      <c r="V69" s="35">
        <f t="shared" si="11"/>
        <v>0</v>
      </c>
      <c r="W69" s="35"/>
      <c r="X69" s="23" t="s">
        <v>97</v>
      </c>
      <c r="Y69" s="35"/>
      <c r="Z69" s="24">
        <v>0</v>
      </c>
      <c r="AA69" s="35"/>
      <c r="AB69" s="24">
        <v>0</v>
      </c>
      <c r="AC69" s="35"/>
      <c r="AD69" s="24">
        <v>0</v>
      </c>
      <c r="AE69" s="35"/>
      <c r="AF69" s="35">
        <f t="shared" si="3"/>
        <v>0</v>
      </c>
      <c r="AG69" s="35"/>
      <c r="AH69" s="24">
        <v>0</v>
      </c>
      <c r="AI69" s="35"/>
      <c r="AJ69" s="24">
        <v>0</v>
      </c>
      <c r="AK69" s="35"/>
      <c r="AL69" s="24">
        <v>0</v>
      </c>
      <c r="AM69" s="35"/>
      <c r="AN69" s="24">
        <v>0</v>
      </c>
      <c r="AO69" s="35"/>
      <c r="AP69" s="35">
        <f t="shared" si="8"/>
        <v>0</v>
      </c>
      <c r="AQ69" s="35"/>
      <c r="AR69" s="35">
        <v>0</v>
      </c>
      <c r="AS69" s="35"/>
      <c r="AT69" s="35">
        <v>0</v>
      </c>
      <c r="AU69" s="35"/>
      <c r="AV69" s="35">
        <f t="shared" si="4"/>
        <v>0</v>
      </c>
      <c r="AW69" s="35"/>
      <c r="AX69" s="23" t="s">
        <v>97</v>
      </c>
      <c r="AY69" s="35"/>
      <c r="AZ69" s="24">
        <v>0</v>
      </c>
      <c r="BA69" s="35"/>
      <c r="BB69" s="24">
        <v>0</v>
      </c>
      <c r="BC69" s="35"/>
      <c r="BD69" s="24">
        <v>0</v>
      </c>
      <c r="BE69" s="35"/>
      <c r="BF69" s="24">
        <v>0</v>
      </c>
      <c r="BG69" s="35"/>
      <c r="BH69" s="35"/>
      <c r="BI69" s="35"/>
      <c r="BJ69" s="17">
        <f t="shared" si="5"/>
        <v>0</v>
      </c>
    </row>
    <row r="70" spans="1:62" s="36" customFormat="1" ht="12">
      <c r="A70" s="23" t="s">
        <v>61</v>
      </c>
      <c r="B70" s="23"/>
      <c r="C70" s="35">
        <f t="shared" si="7"/>
        <v>3120627</v>
      </c>
      <c r="D70" s="35"/>
      <c r="E70" s="24">
        <v>22772533</v>
      </c>
      <c r="F70" s="35"/>
      <c r="G70" s="24">
        <v>25893160</v>
      </c>
      <c r="H70" s="35"/>
      <c r="I70" s="35">
        <f t="shared" si="10"/>
        <v>693477</v>
      </c>
      <c r="J70" s="35"/>
      <c r="K70" s="24">
        <v>9104417</v>
      </c>
      <c r="L70" s="35"/>
      <c r="M70" s="24">
        <v>9797894</v>
      </c>
      <c r="N70" s="35"/>
      <c r="O70" s="24">
        <v>13226718</v>
      </c>
      <c r="P70" s="35"/>
      <c r="Q70" s="24">
        <v>0</v>
      </c>
      <c r="R70" s="35"/>
      <c r="S70" s="24">
        <v>2868548</v>
      </c>
      <c r="T70" s="35"/>
      <c r="U70" s="35">
        <f t="shared" si="2"/>
        <v>16095266</v>
      </c>
      <c r="V70" s="35">
        <f t="shared" si="11"/>
        <v>0</v>
      </c>
      <c r="W70" s="35"/>
      <c r="X70" s="23" t="s">
        <v>61</v>
      </c>
      <c r="Y70" s="35"/>
      <c r="Z70" s="24">
        <v>3521022</v>
      </c>
      <c r="AA70" s="35"/>
      <c r="AB70" s="24">
        <f>3110587-938861</f>
        <v>2171726</v>
      </c>
      <c r="AC70" s="35"/>
      <c r="AD70" s="24">
        <v>938861</v>
      </c>
      <c r="AE70" s="35"/>
      <c r="AF70" s="35">
        <f t="shared" si="3"/>
        <v>410435</v>
      </c>
      <c r="AG70" s="35"/>
      <c r="AH70" s="24">
        <v>-382556</v>
      </c>
      <c r="AI70" s="35"/>
      <c r="AJ70" s="24">
        <v>0</v>
      </c>
      <c r="AK70" s="35"/>
      <c r="AL70" s="24">
        <v>0</v>
      </c>
      <c r="AM70" s="35"/>
      <c r="AN70" s="24">
        <f>10795+60475</f>
        <v>71270</v>
      </c>
      <c r="AO70" s="35"/>
      <c r="AP70" s="35">
        <f t="shared" si="8"/>
        <v>99149</v>
      </c>
      <c r="AQ70" s="35"/>
      <c r="AR70" s="35">
        <v>0</v>
      </c>
      <c r="AS70" s="35"/>
      <c r="AT70" s="35">
        <v>0</v>
      </c>
      <c r="AU70" s="35"/>
      <c r="AV70" s="35">
        <f t="shared" si="4"/>
        <v>2427150</v>
      </c>
      <c r="AW70" s="35"/>
      <c r="AX70" s="23" t="s">
        <v>61</v>
      </c>
      <c r="AY70" s="35"/>
      <c r="AZ70" s="24">
        <v>5524574</v>
      </c>
      <c r="BA70" s="35"/>
      <c r="BB70" s="24">
        <v>0</v>
      </c>
      <c r="BC70" s="35"/>
      <c r="BD70" s="24">
        <v>3526544</v>
      </c>
      <c r="BE70" s="35"/>
      <c r="BF70" s="24">
        <f>23325+29974</f>
        <v>53299</v>
      </c>
      <c r="BG70" s="35"/>
      <c r="BH70" s="35"/>
      <c r="BI70" s="35"/>
      <c r="BJ70" s="17">
        <f t="shared" si="5"/>
        <v>9104417</v>
      </c>
    </row>
    <row r="71" spans="1:62" s="36" customFormat="1" ht="12">
      <c r="A71" s="23" t="s">
        <v>62</v>
      </c>
      <c r="B71" s="23"/>
      <c r="C71" s="35">
        <f t="shared" si="7"/>
        <v>1099563</v>
      </c>
      <c r="D71" s="35"/>
      <c r="E71" s="24">
        <v>4995762</v>
      </c>
      <c r="F71" s="35"/>
      <c r="G71" s="24">
        <v>6095325</v>
      </c>
      <c r="H71" s="35"/>
      <c r="I71" s="35">
        <f t="shared" si="10"/>
        <v>271910</v>
      </c>
      <c r="J71" s="35"/>
      <c r="K71" s="24">
        <v>244332</v>
      </c>
      <c r="L71" s="35"/>
      <c r="M71" s="24">
        <v>516242</v>
      </c>
      <c r="N71" s="35"/>
      <c r="O71" s="24">
        <v>4429650</v>
      </c>
      <c r="P71" s="35"/>
      <c r="Q71" s="24">
        <v>0</v>
      </c>
      <c r="R71" s="35"/>
      <c r="S71" s="24">
        <v>1149433</v>
      </c>
      <c r="T71" s="35"/>
      <c r="U71" s="35">
        <f t="shared" si="2"/>
        <v>5579083</v>
      </c>
      <c r="V71" s="35">
        <f t="shared" si="11"/>
        <v>0</v>
      </c>
      <c r="W71" s="35"/>
      <c r="X71" s="23" t="s">
        <v>62</v>
      </c>
      <c r="Y71" s="35"/>
      <c r="Z71" s="24">
        <v>0</v>
      </c>
      <c r="AA71" s="35"/>
      <c r="AB71" s="24">
        <v>0</v>
      </c>
      <c r="AC71" s="35"/>
      <c r="AD71" s="24">
        <v>0</v>
      </c>
      <c r="AE71" s="35"/>
      <c r="AF71" s="35">
        <f t="shared" si="3"/>
        <v>0</v>
      </c>
      <c r="AG71" s="35"/>
      <c r="AH71" s="24">
        <v>55614</v>
      </c>
      <c r="AI71" s="35"/>
      <c r="AJ71" s="24">
        <v>0</v>
      </c>
      <c r="AK71" s="35"/>
      <c r="AL71" s="24">
        <v>0</v>
      </c>
      <c r="AM71" s="35"/>
      <c r="AN71" s="24">
        <v>0</v>
      </c>
      <c r="AO71" s="35"/>
      <c r="AP71" s="35">
        <f t="shared" si="8"/>
        <v>55614</v>
      </c>
      <c r="AQ71" s="35"/>
      <c r="AR71" s="35">
        <v>0</v>
      </c>
      <c r="AS71" s="35"/>
      <c r="AT71" s="35">
        <v>0</v>
      </c>
      <c r="AU71" s="35"/>
      <c r="AV71" s="35">
        <f t="shared" si="4"/>
        <v>827653</v>
      </c>
      <c r="AW71" s="35"/>
      <c r="AX71" s="23" t="s">
        <v>62</v>
      </c>
      <c r="AY71" s="35"/>
      <c r="AZ71" s="24">
        <v>0</v>
      </c>
      <c r="BA71" s="35"/>
      <c r="BB71" s="24">
        <v>0</v>
      </c>
      <c r="BC71" s="35"/>
      <c r="BD71" s="24">
        <v>244332</v>
      </c>
      <c r="BE71" s="35"/>
      <c r="BF71" s="24">
        <v>0</v>
      </c>
      <c r="BG71" s="35"/>
      <c r="BH71" s="35"/>
      <c r="BI71" s="35"/>
      <c r="BJ71" s="17">
        <f t="shared" si="5"/>
        <v>244332</v>
      </c>
    </row>
    <row r="72" spans="1:62" s="36" customFormat="1" ht="12" hidden="1">
      <c r="A72" s="23" t="s">
        <v>63</v>
      </c>
      <c r="B72" s="23"/>
      <c r="C72" s="35">
        <f t="shared" si="7"/>
        <v>0</v>
      </c>
      <c r="D72" s="35"/>
      <c r="E72" s="24">
        <v>0</v>
      </c>
      <c r="F72" s="35"/>
      <c r="G72" s="24">
        <v>0</v>
      </c>
      <c r="H72" s="35"/>
      <c r="I72" s="35">
        <f t="shared" si="10"/>
        <v>0</v>
      </c>
      <c r="J72" s="35"/>
      <c r="K72" s="24">
        <v>0</v>
      </c>
      <c r="L72" s="35"/>
      <c r="M72" s="24">
        <v>0</v>
      </c>
      <c r="N72" s="35"/>
      <c r="O72" s="24">
        <v>0</v>
      </c>
      <c r="P72" s="35"/>
      <c r="Q72" s="24">
        <v>0</v>
      </c>
      <c r="R72" s="35"/>
      <c r="S72" s="24">
        <v>0</v>
      </c>
      <c r="T72" s="35"/>
      <c r="U72" s="35">
        <f t="shared" si="2"/>
        <v>0</v>
      </c>
      <c r="V72" s="35">
        <f t="shared" si="11"/>
        <v>0</v>
      </c>
      <c r="W72" s="35"/>
      <c r="X72" s="23" t="s">
        <v>63</v>
      </c>
      <c r="Y72" s="35"/>
      <c r="Z72" s="24">
        <v>0</v>
      </c>
      <c r="AA72" s="35"/>
      <c r="AB72" s="24">
        <v>0</v>
      </c>
      <c r="AC72" s="35"/>
      <c r="AD72" s="24">
        <v>0</v>
      </c>
      <c r="AE72" s="35"/>
      <c r="AF72" s="35">
        <f t="shared" si="3"/>
        <v>0</v>
      </c>
      <c r="AG72" s="35"/>
      <c r="AH72" s="24">
        <v>0</v>
      </c>
      <c r="AI72" s="35"/>
      <c r="AJ72" s="24">
        <v>0</v>
      </c>
      <c r="AK72" s="35"/>
      <c r="AL72" s="24">
        <v>0</v>
      </c>
      <c r="AM72" s="35"/>
      <c r="AN72" s="24">
        <v>0</v>
      </c>
      <c r="AO72" s="35"/>
      <c r="AP72" s="35">
        <f t="shared" si="8"/>
        <v>0</v>
      </c>
      <c r="AQ72" s="35"/>
      <c r="AR72" s="35">
        <v>0</v>
      </c>
      <c r="AS72" s="35"/>
      <c r="AT72" s="35">
        <v>0</v>
      </c>
      <c r="AU72" s="35"/>
      <c r="AV72" s="35">
        <f t="shared" si="4"/>
        <v>0</v>
      </c>
      <c r="AW72" s="35"/>
      <c r="AX72" s="23" t="s">
        <v>63</v>
      </c>
      <c r="AY72" s="35"/>
      <c r="AZ72" s="24">
        <v>0</v>
      </c>
      <c r="BA72" s="35"/>
      <c r="BB72" s="24">
        <v>0</v>
      </c>
      <c r="BC72" s="35"/>
      <c r="BD72" s="24">
        <v>0</v>
      </c>
      <c r="BE72" s="35"/>
      <c r="BF72" s="24">
        <v>0</v>
      </c>
      <c r="BG72" s="35"/>
      <c r="BH72" s="35"/>
      <c r="BI72" s="35"/>
      <c r="BJ72" s="17">
        <f t="shared" si="5"/>
        <v>0</v>
      </c>
    </row>
    <row r="73" spans="1:62" s="36" customFormat="1" ht="12" hidden="1">
      <c r="A73" s="23" t="s">
        <v>132</v>
      </c>
      <c r="B73" s="23"/>
      <c r="C73" s="35">
        <f t="shared" si="7"/>
        <v>0</v>
      </c>
      <c r="D73" s="35"/>
      <c r="E73" s="24">
        <v>0</v>
      </c>
      <c r="F73" s="35"/>
      <c r="G73" s="24">
        <v>0</v>
      </c>
      <c r="H73" s="35"/>
      <c r="I73" s="35">
        <f t="shared" si="10"/>
        <v>0</v>
      </c>
      <c r="J73" s="35"/>
      <c r="K73" s="24">
        <v>0</v>
      </c>
      <c r="L73" s="35"/>
      <c r="M73" s="24">
        <v>0</v>
      </c>
      <c r="N73" s="35"/>
      <c r="O73" s="24">
        <v>0</v>
      </c>
      <c r="P73" s="35"/>
      <c r="Q73" s="24">
        <v>0</v>
      </c>
      <c r="R73" s="35"/>
      <c r="S73" s="24">
        <v>0</v>
      </c>
      <c r="T73" s="35"/>
      <c r="U73" s="35">
        <f t="shared" si="2"/>
        <v>0</v>
      </c>
      <c r="V73" s="35">
        <f t="shared" si="11"/>
        <v>0</v>
      </c>
      <c r="W73" s="35"/>
      <c r="X73" s="23" t="s">
        <v>132</v>
      </c>
      <c r="Y73" s="35"/>
      <c r="Z73" s="24">
        <v>0</v>
      </c>
      <c r="AA73" s="35"/>
      <c r="AB73" s="24">
        <v>0</v>
      </c>
      <c r="AC73" s="35"/>
      <c r="AD73" s="24">
        <v>0</v>
      </c>
      <c r="AE73" s="35"/>
      <c r="AF73" s="35">
        <f t="shared" si="3"/>
        <v>0</v>
      </c>
      <c r="AG73" s="35"/>
      <c r="AH73" s="24">
        <v>0</v>
      </c>
      <c r="AI73" s="35"/>
      <c r="AJ73" s="24">
        <v>0</v>
      </c>
      <c r="AK73" s="35"/>
      <c r="AL73" s="24">
        <v>0</v>
      </c>
      <c r="AM73" s="35"/>
      <c r="AN73" s="24">
        <v>0</v>
      </c>
      <c r="AO73" s="35"/>
      <c r="AP73" s="35">
        <f t="shared" si="8"/>
        <v>0</v>
      </c>
      <c r="AQ73" s="35"/>
      <c r="AR73" s="35">
        <v>0</v>
      </c>
      <c r="AS73" s="35"/>
      <c r="AT73" s="35">
        <v>0</v>
      </c>
      <c r="AU73" s="35"/>
      <c r="AV73" s="35">
        <f t="shared" si="4"/>
        <v>0</v>
      </c>
      <c r="AW73" s="35"/>
      <c r="AX73" s="23" t="s">
        <v>132</v>
      </c>
      <c r="AY73" s="35"/>
      <c r="AZ73" s="24">
        <v>0</v>
      </c>
      <c r="BA73" s="35"/>
      <c r="BB73" s="24">
        <v>0</v>
      </c>
      <c r="BC73" s="35"/>
      <c r="BD73" s="24">
        <v>0</v>
      </c>
      <c r="BE73" s="35"/>
      <c r="BF73" s="24">
        <v>0</v>
      </c>
      <c r="BG73" s="35"/>
      <c r="BH73" s="35"/>
      <c r="BI73" s="35"/>
      <c r="BJ73" s="17">
        <f t="shared" si="5"/>
        <v>0</v>
      </c>
    </row>
    <row r="74" spans="1:66" s="36" customFormat="1" ht="12" hidden="1">
      <c r="A74" s="23" t="s">
        <v>64</v>
      </c>
      <c r="B74" s="23"/>
      <c r="C74" s="35">
        <f t="shared" si="7"/>
        <v>0</v>
      </c>
      <c r="D74" s="35"/>
      <c r="E74" s="24">
        <v>0</v>
      </c>
      <c r="F74" s="35"/>
      <c r="G74" s="24">
        <v>0</v>
      </c>
      <c r="H74" s="35"/>
      <c r="I74" s="35">
        <f t="shared" si="10"/>
        <v>0</v>
      </c>
      <c r="J74" s="35"/>
      <c r="K74" s="24">
        <v>0</v>
      </c>
      <c r="L74" s="35"/>
      <c r="M74" s="24">
        <v>0</v>
      </c>
      <c r="N74" s="35"/>
      <c r="O74" s="24">
        <v>0</v>
      </c>
      <c r="P74" s="35"/>
      <c r="Q74" s="24">
        <v>0</v>
      </c>
      <c r="R74" s="35"/>
      <c r="S74" s="24">
        <v>0</v>
      </c>
      <c r="T74" s="35"/>
      <c r="U74" s="35">
        <f t="shared" si="2"/>
        <v>0</v>
      </c>
      <c r="V74" s="35">
        <f t="shared" si="11"/>
        <v>0</v>
      </c>
      <c r="W74" s="35"/>
      <c r="X74" s="23" t="s">
        <v>64</v>
      </c>
      <c r="Y74" s="35"/>
      <c r="Z74" s="24">
        <v>0</v>
      </c>
      <c r="AA74" s="35"/>
      <c r="AB74" s="24">
        <v>0</v>
      </c>
      <c r="AC74" s="35"/>
      <c r="AD74" s="24">
        <v>0</v>
      </c>
      <c r="AE74" s="35"/>
      <c r="AF74" s="35">
        <f t="shared" si="3"/>
        <v>0</v>
      </c>
      <c r="AG74" s="35"/>
      <c r="AH74" s="24">
        <v>0</v>
      </c>
      <c r="AI74" s="35"/>
      <c r="AJ74" s="24">
        <v>0</v>
      </c>
      <c r="AK74" s="35"/>
      <c r="AL74" s="24">
        <v>0</v>
      </c>
      <c r="AM74" s="35"/>
      <c r="AN74" s="24">
        <v>0</v>
      </c>
      <c r="AO74" s="35"/>
      <c r="AP74" s="35">
        <f t="shared" si="8"/>
        <v>0</v>
      </c>
      <c r="AQ74" s="35"/>
      <c r="AR74" s="35">
        <v>0</v>
      </c>
      <c r="AS74" s="35"/>
      <c r="AT74" s="35">
        <v>0</v>
      </c>
      <c r="AU74" s="35"/>
      <c r="AV74" s="35">
        <f t="shared" si="4"/>
        <v>0</v>
      </c>
      <c r="AW74" s="35"/>
      <c r="AX74" s="23" t="s">
        <v>64</v>
      </c>
      <c r="AY74" s="35"/>
      <c r="AZ74" s="24">
        <v>0</v>
      </c>
      <c r="BA74" s="35"/>
      <c r="BB74" s="24">
        <v>0</v>
      </c>
      <c r="BC74" s="35"/>
      <c r="BD74" s="24">
        <v>0</v>
      </c>
      <c r="BE74" s="35"/>
      <c r="BF74" s="24">
        <v>0</v>
      </c>
      <c r="BG74" s="35"/>
      <c r="BH74" s="35"/>
      <c r="BI74" s="35"/>
      <c r="BJ74" s="17">
        <f t="shared" si="5"/>
        <v>0</v>
      </c>
      <c r="BL74" s="77"/>
      <c r="BM74" s="77"/>
      <c r="BN74" s="77"/>
    </row>
    <row r="75" spans="1:66" s="36" customFormat="1" ht="12">
      <c r="A75" s="23" t="s">
        <v>65</v>
      </c>
      <c r="B75" s="23"/>
      <c r="C75" s="35">
        <f t="shared" si="7"/>
        <v>289631</v>
      </c>
      <c r="D75" s="35"/>
      <c r="E75" s="24">
        <v>2592258</v>
      </c>
      <c r="F75" s="35"/>
      <c r="G75" s="24">
        <v>2881889</v>
      </c>
      <c r="H75" s="35"/>
      <c r="I75" s="35">
        <f t="shared" si="10"/>
        <v>165196</v>
      </c>
      <c r="J75" s="35"/>
      <c r="K75" s="24">
        <v>2081002</v>
      </c>
      <c r="L75" s="35"/>
      <c r="M75" s="24">
        <v>2246198</v>
      </c>
      <c r="N75" s="35"/>
      <c r="O75" s="24">
        <v>385670</v>
      </c>
      <c r="P75" s="35"/>
      <c r="Q75" s="24">
        <v>0</v>
      </c>
      <c r="R75" s="35"/>
      <c r="S75" s="24">
        <v>250021</v>
      </c>
      <c r="T75" s="35"/>
      <c r="U75" s="35">
        <f t="shared" si="2"/>
        <v>635691</v>
      </c>
      <c r="V75" s="35">
        <f t="shared" si="11"/>
        <v>0</v>
      </c>
      <c r="W75" s="35"/>
      <c r="X75" s="23" t="s">
        <v>65</v>
      </c>
      <c r="Y75" s="35"/>
      <c r="Z75" s="24">
        <v>421116</v>
      </c>
      <c r="AA75" s="35"/>
      <c r="AB75" s="24">
        <f>301095-38972</f>
        <v>262123</v>
      </c>
      <c r="AC75" s="35"/>
      <c r="AD75" s="24">
        <v>38972</v>
      </c>
      <c r="AE75" s="35"/>
      <c r="AF75" s="35">
        <f t="shared" si="3"/>
        <v>120021</v>
      </c>
      <c r="AG75" s="35"/>
      <c r="AH75" s="24">
        <v>0</v>
      </c>
      <c r="AI75" s="35"/>
      <c r="AJ75" s="24">
        <v>0</v>
      </c>
      <c r="AK75" s="35"/>
      <c r="AL75" s="24">
        <v>0</v>
      </c>
      <c r="AM75" s="35"/>
      <c r="AN75" s="24">
        <v>0</v>
      </c>
      <c r="AO75" s="35"/>
      <c r="AP75" s="35">
        <f t="shared" si="8"/>
        <v>120021</v>
      </c>
      <c r="AQ75" s="35"/>
      <c r="AR75" s="35">
        <v>0</v>
      </c>
      <c r="AS75" s="35"/>
      <c r="AT75" s="35">
        <v>0</v>
      </c>
      <c r="AU75" s="35"/>
      <c r="AV75" s="35">
        <f t="shared" si="4"/>
        <v>124435</v>
      </c>
      <c r="AW75" s="35"/>
      <c r="AX75" s="23" t="s">
        <v>65</v>
      </c>
      <c r="AY75" s="35"/>
      <c r="AZ75" s="24">
        <v>0</v>
      </c>
      <c r="BA75" s="35"/>
      <c r="BB75" s="24">
        <v>0</v>
      </c>
      <c r="BC75" s="35"/>
      <c r="BD75" s="24">
        <f>260000+1821002</f>
        <v>2081002</v>
      </c>
      <c r="BE75" s="35"/>
      <c r="BF75" s="24">
        <v>0</v>
      </c>
      <c r="BG75" s="35"/>
      <c r="BH75" s="35"/>
      <c r="BI75" s="35"/>
      <c r="BJ75" s="17">
        <f t="shared" si="5"/>
        <v>2081002</v>
      </c>
      <c r="BL75" s="77"/>
      <c r="BM75" s="77"/>
      <c r="BN75" s="77"/>
    </row>
    <row r="76" spans="1:62" s="36" customFormat="1" ht="12">
      <c r="A76" s="23" t="s">
        <v>66</v>
      </c>
      <c r="B76" s="23"/>
      <c r="C76" s="35">
        <f t="shared" si="7"/>
        <v>498195</v>
      </c>
      <c r="D76" s="35"/>
      <c r="E76" s="24">
        <v>1468091</v>
      </c>
      <c r="F76" s="35"/>
      <c r="G76" s="24">
        <v>1966286</v>
      </c>
      <c r="H76" s="35"/>
      <c r="I76" s="35">
        <f t="shared" si="10"/>
        <v>34111</v>
      </c>
      <c r="J76" s="35"/>
      <c r="K76" s="24">
        <v>28948</v>
      </c>
      <c r="L76" s="35"/>
      <c r="M76" s="24">
        <v>63059</v>
      </c>
      <c r="N76" s="35"/>
      <c r="O76" s="24">
        <v>1468091</v>
      </c>
      <c r="P76" s="35"/>
      <c r="Q76" s="24">
        <v>0</v>
      </c>
      <c r="R76" s="35"/>
      <c r="S76" s="24">
        <v>435136</v>
      </c>
      <c r="T76" s="35"/>
      <c r="U76" s="35">
        <f t="shared" si="2"/>
        <v>1903227</v>
      </c>
      <c r="V76" s="35">
        <f t="shared" si="11"/>
        <v>0</v>
      </c>
      <c r="W76" s="35"/>
      <c r="X76" s="23" t="s">
        <v>66</v>
      </c>
      <c r="Y76" s="35"/>
      <c r="Z76" s="24">
        <v>465952</v>
      </c>
      <c r="AA76" s="35"/>
      <c r="AB76" s="24">
        <f>550063-67234</f>
        <v>482829</v>
      </c>
      <c r="AC76" s="35"/>
      <c r="AD76" s="24">
        <v>67234</v>
      </c>
      <c r="AE76" s="35"/>
      <c r="AF76" s="35">
        <f t="shared" si="3"/>
        <v>-84111</v>
      </c>
      <c r="AG76" s="35"/>
      <c r="AH76" s="24">
        <v>2478</v>
      </c>
      <c r="AI76" s="35"/>
      <c r="AJ76" s="24">
        <v>5615</v>
      </c>
      <c r="AK76" s="35"/>
      <c r="AL76" s="24">
        <v>0</v>
      </c>
      <c r="AM76" s="35"/>
      <c r="AN76" s="24">
        <v>0</v>
      </c>
      <c r="AO76" s="35"/>
      <c r="AP76" s="35">
        <f t="shared" si="8"/>
        <v>-76018</v>
      </c>
      <c r="AQ76" s="35"/>
      <c r="AR76" s="35">
        <v>0</v>
      </c>
      <c r="AS76" s="35"/>
      <c r="AT76" s="35">
        <v>0</v>
      </c>
      <c r="AU76" s="35"/>
      <c r="AV76" s="35">
        <f t="shared" si="4"/>
        <v>464084</v>
      </c>
      <c r="AW76" s="35"/>
      <c r="AX76" s="23" t="s">
        <v>66</v>
      </c>
      <c r="AY76" s="35"/>
      <c r="AZ76" s="24">
        <v>0</v>
      </c>
      <c r="BA76" s="35"/>
      <c r="BB76" s="24">
        <v>0</v>
      </c>
      <c r="BC76" s="35"/>
      <c r="BD76" s="24">
        <v>0</v>
      </c>
      <c r="BE76" s="35"/>
      <c r="BF76" s="24">
        <v>28948</v>
      </c>
      <c r="BG76" s="35"/>
      <c r="BH76" s="35"/>
      <c r="BI76" s="35"/>
      <c r="BJ76" s="17">
        <f t="shared" si="5"/>
        <v>28948</v>
      </c>
    </row>
    <row r="77" spans="1:62" s="36" customFormat="1" ht="12">
      <c r="A77" s="23" t="s">
        <v>67</v>
      </c>
      <c r="B77" s="23"/>
      <c r="C77" s="35">
        <f t="shared" si="7"/>
        <v>6742564</v>
      </c>
      <c r="D77" s="35"/>
      <c r="E77" s="24">
        <v>19565734</v>
      </c>
      <c r="F77" s="35"/>
      <c r="G77" s="24">
        <v>26308298</v>
      </c>
      <c r="H77" s="35"/>
      <c r="I77" s="35">
        <f t="shared" si="10"/>
        <v>917267</v>
      </c>
      <c r="J77" s="35"/>
      <c r="K77" s="24">
        <v>5427721</v>
      </c>
      <c r="L77" s="35"/>
      <c r="M77" s="24">
        <v>6344988</v>
      </c>
      <c r="N77" s="35"/>
      <c r="O77" s="24">
        <v>13478735</v>
      </c>
      <c r="P77" s="35"/>
      <c r="Q77" s="24">
        <v>0</v>
      </c>
      <c r="R77" s="35"/>
      <c r="S77" s="24">
        <v>6484575</v>
      </c>
      <c r="T77" s="35"/>
      <c r="U77" s="35">
        <f aca="true" t="shared" si="12" ref="U77:U97">SUM(O77:S77)</f>
        <v>19963310</v>
      </c>
      <c r="V77" s="35">
        <f t="shared" si="11"/>
        <v>0</v>
      </c>
      <c r="W77" s="35"/>
      <c r="X77" s="23" t="s">
        <v>67</v>
      </c>
      <c r="Y77" s="35"/>
      <c r="Z77" s="24">
        <v>4670632</v>
      </c>
      <c r="AA77" s="35"/>
      <c r="AB77" s="24">
        <f>2454378-490572</f>
        <v>1963806</v>
      </c>
      <c r="AC77" s="35"/>
      <c r="AD77" s="24">
        <v>490572</v>
      </c>
      <c r="AE77" s="35"/>
      <c r="AF77" s="35">
        <f aca="true" t="shared" si="13" ref="AF77:AF97">+Z77-AB77-AD77</f>
        <v>2216254</v>
      </c>
      <c r="AG77" s="35"/>
      <c r="AH77" s="24">
        <v>-829105</v>
      </c>
      <c r="AI77" s="35"/>
      <c r="AJ77" s="24">
        <v>23858</v>
      </c>
      <c r="AK77" s="35"/>
      <c r="AL77" s="24">
        <v>0</v>
      </c>
      <c r="AM77" s="35"/>
      <c r="AN77" s="24">
        <v>0</v>
      </c>
      <c r="AO77" s="35"/>
      <c r="AP77" s="35">
        <f t="shared" si="8"/>
        <v>1411007</v>
      </c>
      <c r="AQ77" s="35"/>
      <c r="AR77" s="35">
        <v>0</v>
      </c>
      <c r="AS77" s="35"/>
      <c r="AT77" s="35">
        <v>0</v>
      </c>
      <c r="AU77" s="35"/>
      <c r="AV77" s="35">
        <f aca="true" t="shared" si="14" ref="AV77:AV97">C77-I77</f>
        <v>5825297</v>
      </c>
      <c r="AW77" s="35"/>
      <c r="AX77" s="23" t="s">
        <v>67</v>
      </c>
      <c r="AY77" s="35"/>
      <c r="AZ77" s="24">
        <v>0</v>
      </c>
      <c r="BA77" s="35"/>
      <c r="BB77" s="24">
        <v>5398816</v>
      </c>
      <c r="BC77" s="35"/>
      <c r="BD77" s="24">
        <v>0</v>
      </c>
      <c r="BE77" s="35"/>
      <c r="BF77" s="24">
        <v>28905</v>
      </c>
      <c r="BG77" s="35"/>
      <c r="BH77" s="35"/>
      <c r="BI77" s="35"/>
      <c r="BJ77" s="17">
        <f aca="true" t="shared" si="15" ref="BJ77:BJ97">SUM(AZ77:BF77)+BH77</f>
        <v>5427721</v>
      </c>
    </row>
    <row r="78" spans="1:62" s="36" customFormat="1" ht="12" hidden="1">
      <c r="A78" s="23" t="s">
        <v>68</v>
      </c>
      <c r="B78" s="23"/>
      <c r="C78" s="35">
        <f t="shared" si="7"/>
        <v>0</v>
      </c>
      <c r="D78" s="35"/>
      <c r="E78" s="24">
        <v>0</v>
      </c>
      <c r="F78" s="35"/>
      <c r="G78" s="24">
        <v>0</v>
      </c>
      <c r="H78" s="35"/>
      <c r="I78" s="35">
        <f t="shared" si="10"/>
        <v>0</v>
      </c>
      <c r="J78" s="35"/>
      <c r="K78" s="24">
        <v>0</v>
      </c>
      <c r="L78" s="35"/>
      <c r="M78" s="24">
        <v>0</v>
      </c>
      <c r="N78" s="35"/>
      <c r="O78" s="24">
        <v>0</v>
      </c>
      <c r="P78" s="35"/>
      <c r="Q78" s="24">
        <v>0</v>
      </c>
      <c r="R78" s="35"/>
      <c r="S78" s="24">
        <v>0</v>
      </c>
      <c r="T78" s="35"/>
      <c r="U78" s="35">
        <f t="shared" si="12"/>
        <v>0</v>
      </c>
      <c r="V78" s="35">
        <f t="shared" si="11"/>
        <v>0</v>
      </c>
      <c r="W78" s="35"/>
      <c r="X78" s="23" t="s">
        <v>68</v>
      </c>
      <c r="Y78" s="35"/>
      <c r="Z78" s="24">
        <v>0</v>
      </c>
      <c r="AA78" s="35"/>
      <c r="AB78" s="24">
        <v>0</v>
      </c>
      <c r="AC78" s="35"/>
      <c r="AD78" s="24">
        <v>0</v>
      </c>
      <c r="AE78" s="35"/>
      <c r="AF78" s="35">
        <f t="shared" si="13"/>
        <v>0</v>
      </c>
      <c r="AG78" s="35"/>
      <c r="AH78" s="24">
        <v>0</v>
      </c>
      <c r="AI78" s="35"/>
      <c r="AJ78" s="24">
        <v>0</v>
      </c>
      <c r="AK78" s="35"/>
      <c r="AL78" s="24">
        <v>0</v>
      </c>
      <c r="AM78" s="35"/>
      <c r="AN78" s="24">
        <v>0</v>
      </c>
      <c r="AO78" s="35"/>
      <c r="AP78" s="35">
        <f t="shared" si="8"/>
        <v>0</v>
      </c>
      <c r="AQ78" s="35"/>
      <c r="AR78" s="35">
        <v>0</v>
      </c>
      <c r="AS78" s="35"/>
      <c r="AT78" s="35">
        <v>0</v>
      </c>
      <c r="AU78" s="35"/>
      <c r="AV78" s="35">
        <f t="shared" si="14"/>
        <v>0</v>
      </c>
      <c r="AW78" s="35"/>
      <c r="AX78" s="23" t="s">
        <v>68</v>
      </c>
      <c r="AY78" s="35"/>
      <c r="AZ78" s="24">
        <v>0</v>
      </c>
      <c r="BA78" s="35"/>
      <c r="BB78" s="24">
        <v>0</v>
      </c>
      <c r="BC78" s="35"/>
      <c r="BD78" s="24">
        <v>0</v>
      </c>
      <c r="BE78" s="35"/>
      <c r="BF78" s="24">
        <v>0</v>
      </c>
      <c r="BG78" s="35"/>
      <c r="BH78" s="35"/>
      <c r="BI78" s="35"/>
      <c r="BJ78" s="17">
        <f t="shared" si="15"/>
        <v>0</v>
      </c>
    </row>
    <row r="79" spans="1:62" s="36" customFormat="1" ht="12" hidden="1">
      <c r="A79" s="23" t="s">
        <v>176</v>
      </c>
      <c r="B79" s="23"/>
      <c r="C79" s="35">
        <f t="shared" si="7"/>
        <v>0</v>
      </c>
      <c r="D79" s="35"/>
      <c r="E79" s="24">
        <v>0</v>
      </c>
      <c r="F79" s="35"/>
      <c r="G79" s="24">
        <v>0</v>
      </c>
      <c r="H79" s="35"/>
      <c r="I79" s="35">
        <f t="shared" si="10"/>
        <v>0</v>
      </c>
      <c r="J79" s="35"/>
      <c r="K79" s="24">
        <v>0</v>
      </c>
      <c r="L79" s="35"/>
      <c r="M79" s="24">
        <v>0</v>
      </c>
      <c r="N79" s="35"/>
      <c r="O79" s="24">
        <v>0</v>
      </c>
      <c r="P79" s="35"/>
      <c r="Q79" s="24">
        <v>0</v>
      </c>
      <c r="R79" s="35"/>
      <c r="S79" s="24">
        <v>0</v>
      </c>
      <c r="T79" s="35"/>
      <c r="U79" s="35">
        <f t="shared" si="12"/>
        <v>0</v>
      </c>
      <c r="V79" s="35">
        <f t="shared" si="11"/>
        <v>0</v>
      </c>
      <c r="W79" s="35"/>
      <c r="X79" s="23" t="s">
        <v>176</v>
      </c>
      <c r="Y79" s="35"/>
      <c r="Z79" s="24">
        <v>0</v>
      </c>
      <c r="AA79" s="35"/>
      <c r="AB79" s="24">
        <v>0</v>
      </c>
      <c r="AC79" s="35"/>
      <c r="AD79" s="24">
        <v>0</v>
      </c>
      <c r="AE79" s="35"/>
      <c r="AF79" s="35">
        <f t="shared" si="13"/>
        <v>0</v>
      </c>
      <c r="AG79" s="35"/>
      <c r="AH79" s="24">
        <v>0</v>
      </c>
      <c r="AI79" s="35"/>
      <c r="AJ79" s="24">
        <v>0</v>
      </c>
      <c r="AK79" s="35"/>
      <c r="AL79" s="24">
        <v>0</v>
      </c>
      <c r="AM79" s="35"/>
      <c r="AN79" s="24">
        <v>0</v>
      </c>
      <c r="AO79" s="35"/>
      <c r="AP79" s="35">
        <f t="shared" si="8"/>
        <v>0</v>
      </c>
      <c r="AQ79" s="35"/>
      <c r="AR79" s="35">
        <v>0</v>
      </c>
      <c r="AS79" s="35"/>
      <c r="AT79" s="35">
        <v>0</v>
      </c>
      <c r="AU79" s="35"/>
      <c r="AV79" s="35">
        <f t="shared" si="14"/>
        <v>0</v>
      </c>
      <c r="AW79" s="35"/>
      <c r="AX79" s="23" t="s">
        <v>176</v>
      </c>
      <c r="AY79" s="35"/>
      <c r="AZ79" s="24">
        <v>0</v>
      </c>
      <c r="BA79" s="35"/>
      <c r="BB79" s="24">
        <v>0</v>
      </c>
      <c r="BC79" s="35"/>
      <c r="BD79" s="24">
        <v>0</v>
      </c>
      <c r="BE79" s="35"/>
      <c r="BF79" s="24">
        <v>0</v>
      </c>
      <c r="BG79" s="35"/>
      <c r="BH79" s="35"/>
      <c r="BI79" s="35"/>
      <c r="BJ79" s="17">
        <f t="shared" si="15"/>
        <v>0</v>
      </c>
    </row>
    <row r="80" spans="1:62" s="36" customFormat="1" ht="12" hidden="1">
      <c r="A80" s="23" t="s">
        <v>133</v>
      </c>
      <c r="B80" s="23"/>
      <c r="C80" s="35">
        <f t="shared" si="7"/>
        <v>0</v>
      </c>
      <c r="D80" s="35"/>
      <c r="E80" s="24">
        <v>0</v>
      </c>
      <c r="F80" s="35"/>
      <c r="G80" s="24">
        <v>0</v>
      </c>
      <c r="H80" s="35"/>
      <c r="I80" s="35">
        <f t="shared" si="10"/>
        <v>0</v>
      </c>
      <c r="J80" s="35"/>
      <c r="K80" s="24">
        <v>0</v>
      </c>
      <c r="L80" s="35"/>
      <c r="M80" s="24">
        <v>0</v>
      </c>
      <c r="N80" s="35"/>
      <c r="O80" s="24">
        <v>0</v>
      </c>
      <c r="P80" s="35"/>
      <c r="Q80" s="24">
        <v>0</v>
      </c>
      <c r="R80" s="35"/>
      <c r="S80" s="24">
        <v>0</v>
      </c>
      <c r="T80" s="35"/>
      <c r="U80" s="35">
        <f t="shared" si="12"/>
        <v>0</v>
      </c>
      <c r="V80" s="35">
        <f t="shared" si="11"/>
        <v>0</v>
      </c>
      <c r="W80" s="35"/>
      <c r="X80" s="23" t="s">
        <v>133</v>
      </c>
      <c r="Y80" s="35"/>
      <c r="Z80" s="24">
        <v>0</v>
      </c>
      <c r="AA80" s="35"/>
      <c r="AB80" s="24">
        <v>0</v>
      </c>
      <c r="AC80" s="35"/>
      <c r="AD80" s="24">
        <v>0</v>
      </c>
      <c r="AE80" s="35"/>
      <c r="AF80" s="35">
        <f t="shared" si="13"/>
        <v>0</v>
      </c>
      <c r="AG80" s="35"/>
      <c r="AH80" s="24">
        <v>0</v>
      </c>
      <c r="AI80" s="35"/>
      <c r="AJ80" s="24">
        <v>0</v>
      </c>
      <c r="AK80" s="35"/>
      <c r="AL80" s="24">
        <v>0</v>
      </c>
      <c r="AM80" s="35"/>
      <c r="AN80" s="24">
        <v>0</v>
      </c>
      <c r="AO80" s="35"/>
      <c r="AP80" s="35">
        <f t="shared" si="8"/>
        <v>0</v>
      </c>
      <c r="AQ80" s="35"/>
      <c r="AR80" s="35">
        <v>0</v>
      </c>
      <c r="AS80" s="35"/>
      <c r="AT80" s="35">
        <v>0</v>
      </c>
      <c r="AU80" s="35"/>
      <c r="AV80" s="35">
        <f t="shared" si="14"/>
        <v>0</v>
      </c>
      <c r="AW80" s="35"/>
      <c r="AX80" s="23" t="s">
        <v>133</v>
      </c>
      <c r="AY80" s="35"/>
      <c r="AZ80" s="24">
        <v>0</v>
      </c>
      <c r="BA80" s="35"/>
      <c r="BB80" s="24">
        <v>0</v>
      </c>
      <c r="BC80" s="35"/>
      <c r="BD80" s="24">
        <v>0</v>
      </c>
      <c r="BE80" s="35"/>
      <c r="BF80" s="24">
        <v>0</v>
      </c>
      <c r="BG80" s="35"/>
      <c r="BH80" s="35"/>
      <c r="BI80" s="35"/>
      <c r="BJ80" s="17">
        <f t="shared" si="15"/>
        <v>0</v>
      </c>
    </row>
    <row r="81" spans="1:62" s="36" customFormat="1" ht="12">
      <c r="A81" s="23" t="s">
        <v>69</v>
      </c>
      <c r="B81" s="23"/>
      <c r="C81" s="35">
        <f aca="true" t="shared" si="16" ref="C81:C95">+G81-E81</f>
        <v>77597</v>
      </c>
      <c r="D81" s="35"/>
      <c r="E81" s="24">
        <v>91415</v>
      </c>
      <c r="F81" s="35"/>
      <c r="G81" s="24">
        <v>169012</v>
      </c>
      <c r="H81" s="35"/>
      <c r="I81" s="35">
        <f t="shared" si="10"/>
        <v>2394</v>
      </c>
      <c r="J81" s="35"/>
      <c r="K81" s="24">
        <v>0</v>
      </c>
      <c r="L81" s="35"/>
      <c r="M81" s="24">
        <v>2394</v>
      </c>
      <c r="N81" s="35"/>
      <c r="O81" s="24">
        <v>91415</v>
      </c>
      <c r="P81" s="35"/>
      <c r="Q81" s="24">
        <v>0</v>
      </c>
      <c r="R81" s="35"/>
      <c r="S81" s="24">
        <v>75203</v>
      </c>
      <c r="T81" s="35"/>
      <c r="U81" s="35">
        <f t="shared" si="12"/>
        <v>166618</v>
      </c>
      <c r="V81" s="35">
        <f t="shared" si="11"/>
        <v>0</v>
      </c>
      <c r="W81" s="35"/>
      <c r="X81" s="23" t="s">
        <v>69</v>
      </c>
      <c r="Y81" s="35"/>
      <c r="Z81" s="24">
        <v>54187</v>
      </c>
      <c r="AA81" s="35"/>
      <c r="AB81" s="24">
        <f>34920-5000</f>
        <v>29920</v>
      </c>
      <c r="AC81" s="35"/>
      <c r="AD81" s="24">
        <v>5000</v>
      </c>
      <c r="AE81" s="35"/>
      <c r="AF81" s="35">
        <f t="shared" si="13"/>
        <v>19267</v>
      </c>
      <c r="AG81" s="35"/>
      <c r="AH81" s="24">
        <v>0</v>
      </c>
      <c r="AI81" s="35"/>
      <c r="AJ81" s="24">
        <v>0</v>
      </c>
      <c r="AK81" s="35"/>
      <c r="AL81" s="24">
        <v>0</v>
      </c>
      <c r="AM81" s="35"/>
      <c r="AN81" s="24">
        <v>0</v>
      </c>
      <c r="AO81" s="35"/>
      <c r="AP81" s="35">
        <f>+AN81+AJ81+AH81+AF81-AL81</f>
        <v>19267</v>
      </c>
      <c r="AQ81" s="35"/>
      <c r="AR81" s="35">
        <v>0</v>
      </c>
      <c r="AS81" s="35"/>
      <c r="AT81" s="35">
        <v>0</v>
      </c>
      <c r="AU81" s="35"/>
      <c r="AV81" s="35">
        <f t="shared" si="14"/>
        <v>75203</v>
      </c>
      <c r="AW81" s="35"/>
      <c r="AX81" s="23" t="s">
        <v>69</v>
      </c>
      <c r="AY81" s="35"/>
      <c r="AZ81" s="24">
        <v>0</v>
      </c>
      <c r="BA81" s="35"/>
      <c r="BB81" s="24">
        <v>0</v>
      </c>
      <c r="BC81" s="35"/>
      <c r="BD81" s="24">
        <v>0</v>
      </c>
      <c r="BE81" s="35"/>
      <c r="BF81" s="24">
        <v>0</v>
      </c>
      <c r="BG81" s="35"/>
      <c r="BH81" s="35"/>
      <c r="BI81" s="35"/>
      <c r="BJ81" s="17">
        <f t="shared" si="15"/>
        <v>0</v>
      </c>
    </row>
    <row r="82" spans="1:62" s="36" customFormat="1" ht="12" hidden="1">
      <c r="A82" s="23" t="s">
        <v>98</v>
      </c>
      <c r="B82" s="23"/>
      <c r="C82" s="35">
        <f t="shared" si="16"/>
        <v>0</v>
      </c>
      <c r="D82" s="35"/>
      <c r="E82" s="24">
        <v>0</v>
      </c>
      <c r="F82" s="35"/>
      <c r="G82" s="24">
        <v>0</v>
      </c>
      <c r="H82" s="35"/>
      <c r="I82" s="35">
        <f t="shared" si="10"/>
        <v>0</v>
      </c>
      <c r="J82" s="35"/>
      <c r="K82" s="24">
        <v>0</v>
      </c>
      <c r="L82" s="35"/>
      <c r="M82" s="24">
        <v>0</v>
      </c>
      <c r="N82" s="35"/>
      <c r="O82" s="24">
        <v>0</v>
      </c>
      <c r="P82" s="35"/>
      <c r="Q82" s="24">
        <v>0</v>
      </c>
      <c r="R82" s="35"/>
      <c r="S82" s="24">
        <v>0</v>
      </c>
      <c r="T82" s="35"/>
      <c r="U82" s="35">
        <f t="shared" si="12"/>
        <v>0</v>
      </c>
      <c r="V82" s="35">
        <f t="shared" si="11"/>
        <v>0</v>
      </c>
      <c r="W82" s="35"/>
      <c r="X82" s="23" t="s">
        <v>98</v>
      </c>
      <c r="Y82" s="35"/>
      <c r="Z82" s="24">
        <v>0</v>
      </c>
      <c r="AA82" s="35"/>
      <c r="AB82" s="24">
        <v>0</v>
      </c>
      <c r="AC82" s="35"/>
      <c r="AD82" s="24">
        <v>0</v>
      </c>
      <c r="AE82" s="35"/>
      <c r="AF82" s="35">
        <f t="shared" si="13"/>
        <v>0</v>
      </c>
      <c r="AG82" s="35"/>
      <c r="AH82" s="24">
        <v>0</v>
      </c>
      <c r="AI82" s="35"/>
      <c r="AJ82" s="24">
        <v>0</v>
      </c>
      <c r="AK82" s="35"/>
      <c r="AL82" s="24">
        <v>0</v>
      </c>
      <c r="AM82" s="35"/>
      <c r="AN82" s="24">
        <v>0</v>
      </c>
      <c r="AO82" s="35"/>
      <c r="AP82" s="35">
        <f aca="true" t="shared" si="17" ref="AP82:AP95">+AN82+AJ82+AH82+AF82-AL82</f>
        <v>0</v>
      </c>
      <c r="AQ82" s="35"/>
      <c r="AR82" s="35">
        <v>0</v>
      </c>
      <c r="AS82" s="35"/>
      <c r="AT82" s="35">
        <v>0</v>
      </c>
      <c r="AU82" s="35"/>
      <c r="AV82" s="35">
        <f t="shared" si="14"/>
        <v>0</v>
      </c>
      <c r="AW82" s="35"/>
      <c r="AX82" s="23" t="s">
        <v>98</v>
      </c>
      <c r="AY82" s="35"/>
      <c r="AZ82" s="24">
        <v>0</v>
      </c>
      <c r="BA82" s="35"/>
      <c r="BB82" s="24">
        <v>0</v>
      </c>
      <c r="BC82" s="35"/>
      <c r="BD82" s="24">
        <v>0</v>
      </c>
      <c r="BE82" s="35"/>
      <c r="BF82" s="24">
        <v>0</v>
      </c>
      <c r="BG82" s="35"/>
      <c r="BH82" s="35"/>
      <c r="BI82" s="35"/>
      <c r="BJ82" s="17">
        <f t="shared" si="15"/>
        <v>0</v>
      </c>
    </row>
    <row r="83" spans="1:62" s="36" customFormat="1" ht="12" hidden="1">
      <c r="A83" s="23" t="s">
        <v>70</v>
      </c>
      <c r="B83" s="23"/>
      <c r="C83" s="35">
        <f t="shared" si="16"/>
        <v>0</v>
      </c>
      <c r="D83" s="35"/>
      <c r="E83" s="24">
        <v>0</v>
      </c>
      <c r="F83" s="35"/>
      <c r="G83" s="24">
        <v>0</v>
      </c>
      <c r="H83" s="35"/>
      <c r="I83" s="35">
        <f t="shared" si="10"/>
        <v>0</v>
      </c>
      <c r="J83" s="35"/>
      <c r="K83" s="24">
        <v>0</v>
      </c>
      <c r="L83" s="35"/>
      <c r="M83" s="24">
        <v>0</v>
      </c>
      <c r="N83" s="35"/>
      <c r="O83" s="24">
        <v>0</v>
      </c>
      <c r="P83" s="35"/>
      <c r="Q83" s="24">
        <v>0</v>
      </c>
      <c r="R83" s="35"/>
      <c r="S83" s="24">
        <v>0</v>
      </c>
      <c r="T83" s="35"/>
      <c r="U83" s="35">
        <f t="shared" si="12"/>
        <v>0</v>
      </c>
      <c r="V83" s="35">
        <f t="shared" si="11"/>
        <v>0</v>
      </c>
      <c r="W83" s="35"/>
      <c r="X83" s="23" t="s">
        <v>70</v>
      </c>
      <c r="Y83" s="35"/>
      <c r="Z83" s="24">
        <v>0</v>
      </c>
      <c r="AA83" s="35"/>
      <c r="AB83" s="24">
        <v>0</v>
      </c>
      <c r="AC83" s="35"/>
      <c r="AD83" s="24">
        <v>0</v>
      </c>
      <c r="AE83" s="35"/>
      <c r="AF83" s="35">
        <f t="shared" si="13"/>
        <v>0</v>
      </c>
      <c r="AG83" s="35"/>
      <c r="AH83" s="24">
        <v>0</v>
      </c>
      <c r="AI83" s="35"/>
      <c r="AJ83" s="24">
        <v>0</v>
      </c>
      <c r="AK83" s="35"/>
      <c r="AL83" s="24">
        <v>0</v>
      </c>
      <c r="AM83" s="35"/>
      <c r="AN83" s="24">
        <v>0</v>
      </c>
      <c r="AO83" s="35"/>
      <c r="AP83" s="35">
        <f t="shared" si="17"/>
        <v>0</v>
      </c>
      <c r="AQ83" s="35"/>
      <c r="AR83" s="35">
        <v>0</v>
      </c>
      <c r="AS83" s="35"/>
      <c r="AT83" s="35">
        <v>0</v>
      </c>
      <c r="AU83" s="35"/>
      <c r="AV83" s="35">
        <f t="shared" si="14"/>
        <v>0</v>
      </c>
      <c r="AW83" s="35"/>
      <c r="AX83" s="23" t="s">
        <v>70</v>
      </c>
      <c r="AY83" s="35"/>
      <c r="AZ83" s="24">
        <v>0</v>
      </c>
      <c r="BA83" s="35"/>
      <c r="BB83" s="24">
        <v>0</v>
      </c>
      <c r="BC83" s="35"/>
      <c r="BD83" s="24">
        <v>0</v>
      </c>
      <c r="BE83" s="35"/>
      <c r="BF83" s="24">
        <v>0</v>
      </c>
      <c r="BG83" s="35"/>
      <c r="BH83" s="35"/>
      <c r="BI83" s="35"/>
      <c r="BJ83" s="17">
        <f t="shared" si="15"/>
        <v>0</v>
      </c>
    </row>
    <row r="84" spans="1:62" s="36" customFormat="1" ht="12" hidden="1">
      <c r="A84" s="23" t="s">
        <v>71</v>
      </c>
      <c r="B84" s="23"/>
      <c r="C84" s="35">
        <f t="shared" si="16"/>
        <v>0</v>
      </c>
      <c r="D84" s="35"/>
      <c r="E84" s="24">
        <v>0</v>
      </c>
      <c r="F84" s="35"/>
      <c r="G84" s="24">
        <v>0</v>
      </c>
      <c r="H84" s="35"/>
      <c r="I84" s="35">
        <f t="shared" si="10"/>
        <v>0</v>
      </c>
      <c r="J84" s="35"/>
      <c r="K84" s="24">
        <v>0</v>
      </c>
      <c r="L84" s="35"/>
      <c r="M84" s="24">
        <v>0</v>
      </c>
      <c r="N84" s="35"/>
      <c r="O84" s="24">
        <v>0</v>
      </c>
      <c r="P84" s="35"/>
      <c r="Q84" s="24">
        <v>0</v>
      </c>
      <c r="R84" s="35"/>
      <c r="S84" s="24">
        <v>0</v>
      </c>
      <c r="T84" s="35"/>
      <c r="U84" s="35">
        <f t="shared" si="12"/>
        <v>0</v>
      </c>
      <c r="V84" s="35">
        <f t="shared" si="11"/>
        <v>0</v>
      </c>
      <c r="W84" s="35"/>
      <c r="X84" s="23" t="s">
        <v>71</v>
      </c>
      <c r="Y84" s="35"/>
      <c r="Z84" s="24">
        <v>0</v>
      </c>
      <c r="AA84" s="35"/>
      <c r="AB84" s="24">
        <v>0</v>
      </c>
      <c r="AC84" s="35"/>
      <c r="AD84" s="24">
        <v>0</v>
      </c>
      <c r="AE84" s="35"/>
      <c r="AF84" s="35">
        <f t="shared" si="13"/>
        <v>0</v>
      </c>
      <c r="AG84" s="35"/>
      <c r="AH84" s="24">
        <v>0</v>
      </c>
      <c r="AI84" s="35"/>
      <c r="AJ84" s="24">
        <v>0</v>
      </c>
      <c r="AK84" s="35"/>
      <c r="AL84" s="24">
        <v>0</v>
      </c>
      <c r="AM84" s="35"/>
      <c r="AN84" s="24">
        <v>0</v>
      </c>
      <c r="AO84" s="35"/>
      <c r="AP84" s="35">
        <f t="shared" si="17"/>
        <v>0</v>
      </c>
      <c r="AQ84" s="35"/>
      <c r="AR84" s="35">
        <v>0</v>
      </c>
      <c r="AS84" s="35"/>
      <c r="AT84" s="35">
        <v>0</v>
      </c>
      <c r="AU84" s="35"/>
      <c r="AV84" s="35">
        <f t="shared" si="14"/>
        <v>0</v>
      </c>
      <c r="AW84" s="35"/>
      <c r="AX84" s="23" t="s">
        <v>71</v>
      </c>
      <c r="AY84" s="35"/>
      <c r="AZ84" s="24">
        <v>0</v>
      </c>
      <c r="BA84" s="35"/>
      <c r="BB84" s="24">
        <v>0</v>
      </c>
      <c r="BC84" s="35"/>
      <c r="BD84" s="24">
        <v>0</v>
      </c>
      <c r="BE84" s="35"/>
      <c r="BF84" s="24">
        <v>0</v>
      </c>
      <c r="BG84" s="35"/>
      <c r="BH84" s="35"/>
      <c r="BI84" s="35"/>
      <c r="BJ84" s="17">
        <f t="shared" si="15"/>
        <v>0</v>
      </c>
    </row>
    <row r="85" spans="1:62" s="36" customFormat="1" ht="12" hidden="1">
      <c r="A85" s="23" t="s">
        <v>72</v>
      </c>
      <c r="B85" s="23"/>
      <c r="C85" s="35">
        <f t="shared" si="16"/>
        <v>0</v>
      </c>
      <c r="D85" s="35"/>
      <c r="E85" s="24">
        <v>0</v>
      </c>
      <c r="F85" s="35"/>
      <c r="G85" s="24">
        <v>0</v>
      </c>
      <c r="H85" s="35"/>
      <c r="I85" s="35">
        <f t="shared" si="10"/>
        <v>0</v>
      </c>
      <c r="J85" s="35"/>
      <c r="K85" s="24">
        <v>0</v>
      </c>
      <c r="L85" s="35"/>
      <c r="M85" s="24">
        <v>0</v>
      </c>
      <c r="N85" s="35"/>
      <c r="O85" s="24">
        <v>0</v>
      </c>
      <c r="P85" s="35"/>
      <c r="Q85" s="24">
        <v>0</v>
      </c>
      <c r="R85" s="35"/>
      <c r="S85" s="24">
        <v>0</v>
      </c>
      <c r="T85" s="35"/>
      <c r="U85" s="35">
        <f t="shared" si="12"/>
        <v>0</v>
      </c>
      <c r="V85" s="35">
        <f t="shared" si="11"/>
        <v>0</v>
      </c>
      <c r="W85" s="35"/>
      <c r="X85" s="23" t="s">
        <v>72</v>
      </c>
      <c r="Y85" s="35"/>
      <c r="Z85" s="24">
        <v>0</v>
      </c>
      <c r="AA85" s="35"/>
      <c r="AB85" s="24">
        <v>0</v>
      </c>
      <c r="AC85" s="35"/>
      <c r="AD85" s="24">
        <v>0</v>
      </c>
      <c r="AE85" s="35"/>
      <c r="AF85" s="35">
        <f t="shared" si="13"/>
        <v>0</v>
      </c>
      <c r="AG85" s="35"/>
      <c r="AH85" s="24">
        <v>0</v>
      </c>
      <c r="AI85" s="35"/>
      <c r="AJ85" s="24">
        <v>0</v>
      </c>
      <c r="AK85" s="35"/>
      <c r="AL85" s="24">
        <v>0</v>
      </c>
      <c r="AM85" s="35"/>
      <c r="AN85" s="24">
        <v>0</v>
      </c>
      <c r="AO85" s="35"/>
      <c r="AP85" s="35">
        <f t="shared" si="17"/>
        <v>0</v>
      </c>
      <c r="AQ85" s="35"/>
      <c r="AR85" s="35">
        <v>0</v>
      </c>
      <c r="AS85" s="35"/>
      <c r="AT85" s="35">
        <v>0</v>
      </c>
      <c r="AU85" s="35"/>
      <c r="AV85" s="35">
        <f t="shared" si="14"/>
        <v>0</v>
      </c>
      <c r="AW85" s="35"/>
      <c r="AX85" s="23" t="s">
        <v>72</v>
      </c>
      <c r="AY85" s="35"/>
      <c r="AZ85" s="24">
        <v>0</v>
      </c>
      <c r="BA85" s="35"/>
      <c r="BB85" s="24">
        <v>0</v>
      </c>
      <c r="BC85" s="35"/>
      <c r="BD85" s="24">
        <v>0</v>
      </c>
      <c r="BE85" s="35"/>
      <c r="BF85" s="24">
        <v>0</v>
      </c>
      <c r="BG85" s="35"/>
      <c r="BH85" s="35"/>
      <c r="BI85" s="35"/>
      <c r="BJ85" s="17">
        <f t="shared" si="15"/>
        <v>0</v>
      </c>
    </row>
    <row r="86" spans="1:62" s="36" customFormat="1" ht="12" hidden="1">
      <c r="A86" s="23" t="s">
        <v>73</v>
      </c>
      <c r="B86" s="23"/>
      <c r="C86" s="35">
        <f t="shared" si="16"/>
        <v>0</v>
      </c>
      <c r="D86" s="35"/>
      <c r="E86" s="24">
        <v>0</v>
      </c>
      <c r="F86" s="35"/>
      <c r="G86" s="24">
        <v>0</v>
      </c>
      <c r="H86" s="35"/>
      <c r="I86" s="35">
        <f t="shared" si="10"/>
        <v>0</v>
      </c>
      <c r="J86" s="35"/>
      <c r="K86" s="24">
        <v>0</v>
      </c>
      <c r="L86" s="35"/>
      <c r="M86" s="24">
        <v>0</v>
      </c>
      <c r="N86" s="35"/>
      <c r="O86" s="24">
        <v>0</v>
      </c>
      <c r="P86" s="35"/>
      <c r="Q86" s="24">
        <v>0</v>
      </c>
      <c r="R86" s="35"/>
      <c r="S86" s="24">
        <v>0</v>
      </c>
      <c r="T86" s="35"/>
      <c r="U86" s="35">
        <f t="shared" si="12"/>
        <v>0</v>
      </c>
      <c r="V86" s="35">
        <f t="shared" si="11"/>
        <v>0</v>
      </c>
      <c r="W86" s="35"/>
      <c r="X86" s="23" t="s">
        <v>73</v>
      </c>
      <c r="Y86" s="35"/>
      <c r="Z86" s="24">
        <v>0</v>
      </c>
      <c r="AA86" s="35"/>
      <c r="AB86" s="24">
        <v>0</v>
      </c>
      <c r="AC86" s="35"/>
      <c r="AD86" s="24">
        <v>0</v>
      </c>
      <c r="AE86" s="35"/>
      <c r="AF86" s="35">
        <f t="shared" si="13"/>
        <v>0</v>
      </c>
      <c r="AG86" s="35"/>
      <c r="AH86" s="24">
        <v>0</v>
      </c>
      <c r="AI86" s="35"/>
      <c r="AJ86" s="24">
        <v>0</v>
      </c>
      <c r="AK86" s="35"/>
      <c r="AL86" s="24">
        <v>0</v>
      </c>
      <c r="AM86" s="35"/>
      <c r="AN86" s="24">
        <v>0</v>
      </c>
      <c r="AO86" s="35"/>
      <c r="AP86" s="35">
        <f t="shared" si="17"/>
        <v>0</v>
      </c>
      <c r="AQ86" s="35"/>
      <c r="AR86" s="35">
        <v>0</v>
      </c>
      <c r="AS86" s="35"/>
      <c r="AT86" s="35">
        <v>0</v>
      </c>
      <c r="AU86" s="35"/>
      <c r="AV86" s="35">
        <f t="shared" si="14"/>
        <v>0</v>
      </c>
      <c r="AW86" s="35"/>
      <c r="AX86" s="23" t="s">
        <v>73</v>
      </c>
      <c r="AY86" s="35"/>
      <c r="AZ86" s="24">
        <v>0</v>
      </c>
      <c r="BA86" s="35"/>
      <c r="BB86" s="24">
        <v>0</v>
      </c>
      <c r="BC86" s="35"/>
      <c r="BD86" s="24">
        <v>0</v>
      </c>
      <c r="BE86" s="35"/>
      <c r="BF86" s="24">
        <v>0</v>
      </c>
      <c r="BG86" s="35"/>
      <c r="BH86" s="35"/>
      <c r="BI86" s="35"/>
      <c r="BJ86" s="17">
        <f t="shared" si="15"/>
        <v>0</v>
      </c>
    </row>
    <row r="87" spans="1:62" s="36" customFormat="1" ht="12" hidden="1">
      <c r="A87" s="23" t="s">
        <v>74</v>
      </c>
      <c r="B87" s="23"/>
      <c r="C87" s="35">
        <f t="shared" si="16"/>
        <v>0</v>
      </c>
      <c r="D87" s="35"/>
      <c r="E87" s="24">
        <v>0</v>
      </c>
      <c r="F87" s="35"/>
      <c r="G87" s="24">
        <v>0</v>
      </c>
      <c r="H87" s="35"/>
      <c r="I87" s="35">
        <f t="shared" si="10"/>
        <v>0</v>
      </c>
      <c r="J87" s="35"/>
      <c r="K87" s="24">
        <v>0</v>
      </c>
      <c r="L87" s="35"/>
      <c r="M87" s="24">
        <v>0</v>
      </c>
      <c r="N87" s="35"/>
      <c r="O87" s="24">
        <v>0</v>
      </c>
      <c r="P87" s="35"/>
      <c r="Q87" s="24">
        <v>0</v>
      </c>
      <c r="R87" s="35"/>
      <c r="S87" s="24">
        <v>0</v>
      </c>
      <c r="T87" s="35"/>
      <c r="U87" s="35">
        <f t="shared" si="12"/>
        <v>0</v>
      </c>
      <c r="V87" s="35">
        <f t="shared" si="11"/>
        <v>0</v>
      </c>
      <c r="W87" s="35"/>
      <c r="X87" s="23" t="s">
        <v>74</v>
      </c>
      <c r="Y87" s="35"/>
      <c r="Z87" s="24">
        <v>0</v>
      </c>
      <c r="AA87" s="35"/>
      <c r="AB87" s="24">
        <v>0</v>
      </c>
      <c r="AC87" s="35"/>
      <c r="AD87" s="24">
        <v>0</v>
      </c>
      <c r="AE87" s="35"/>
      <c r="AF87" s="35">
        <f t="shared" si="13"/>
        <v>0</v>
      </c>
      <c r="AG87" s="35"/>
      <c r="AH87" s="24">
        <v>0</v>
      </c>
      <c r="AI87" s="35"/>
      <c r="AJ87" s="24">
        <v>0</v>
      </c>
      <c r="AK87" s="35"/>
      <c r="AL87" s="24">
        <v>0</v>
      </c>
      <c r="AM87" s="35"/>
      <c r="AN87" s="24">
        <v>0</v>
      </c>
      <c r="AO87" s="35"/>
      <c r="AP87" s="35">
        <f t="shared" si="17"/>
        <v>0</v>
      </c>
      <c r="AQ87" s="35"/>
      <c r="AR87" s="35">
        <v>0</v>
      </c>
      <c r="AS87" s="35"/>
      <c r="AT87" s="35">
        <v>0</v>
      </c>
      <c r="AU87" s="35"/>
      <c r="AV87" s="35">
        <f t="shared" si="14"/>
        <v>0</v>
      </c>
      <c r="AW87" s="35"/>
      <c r="AX87" s="23" t="s">
        <v>74</v>
      </c>
      <c r="AY87" s="35"/>
      <c r="AZ87" s="24">
        <v>0</v>
      </c>
      <c r="BA87" s="35"/>
      <c r="BB87" s="24">
        <v>0</v>
      </c>
      <c r="BC87" s="35"/>
      <c r="BD87" s="24">
        <v>0</v>
      </c>
      <c r="BE87" s="35"/>
      <c r="BF87" s="24">
        <v>0</v>
      </c>
      <c r="BG87" s="35"/>
      <c r="BH87" s="35"/>
      <c r="BI87" s="35"/>
      <c r="BJ87" s="17">
        <f t="shared" si="15"/>
        <v>0</v>
      </c>
    </row>
    <row r="88" spans="1:62" s="36" customFormat="1" ht="12">
      <c r="A88" s="23" t="s">
        <v>75</v>
      </c>
      <c r="B88" s="23"/>
      <c r="C88" s="35">
        <f t="shared" si="16"/>
        <v>2673580</v>
      </c>
      <c r="D88" s="35"/>
      <c r="E88" s="24">
        <v>21641700</v>
      </c>
      <c r="F88" s="35"/>
      <c r="G88" s="24">
        <v>24315280</v>
      </c>
      <c r="H88" s="35"/>
      <c r="I88" s="35">
        <f aca="true" t="shared" si="18" ref="I88:I93">+M88-K88</f>
        <v>279464</v>
      </c>
      <c r="J88" s="35"/>
      <c r="K88" s="24">
        <v>1755418</v>
      </c>
      <c r="L88" s="35"/>
      <c r="M88" s="24">
        <v>2034882</v>
      </c>
      <c r="N88" s="35"/>
      <c r="O88" s="24">
        <v>19811375</v>
      </c>
      <c r="P88" s="35"/>
      <c r="Q88" s="24">
        <v>0</v>
      </c>
      <c r="R88" s="35"/>
      <c r="S88" s="24">
        <v>2469023</v>
      </c>
      <c r="T88" s="35"/>
      <c r="U88" s="35">
        <f t="shared" si="12"/>
        <v>22280398</v>
      </c>
      <c r="V88" s="35">
        <f aca="true" t="shared" si="19" ref="V88:V97">G88-M88-U88</f>
        <v>0</v>
      </c>
      <c r="W88" s="35"/>
      <c r="X88" s="23" t="s">
        <v>75</v>
      </c>
      <c r="Y88" s="35"/>
      <c r="Z88" s="24">
        <v>5001889</v>
      </c>
      <c r="AA88" s="35"/>
      <c r="AB88" s="24">
        <f>3466035</f>
        <v>3466035</v>
      </c>
      <c r="AC88" s="35"/>
      <c r="AD88" s="24">
        <v>0</v>
      </c>
      <c r="AE88" s="35"/>
      <c r="AF88" s="35">
        <f t="shared" si="13"/>
        <v>1535854</v>
      </c>
      <c r="AG88" s="35"/>
      <c r="AH88" s="24">
        <v>-27692</v>
      </c>
      <c r="AI88" s="35"/>
      <c r="AJ88" s="24">
        <v>615676</v>
      </c>
      <c r="AK88" s="35"/>
      <c r="AL88" s="24">
        <v>1732503</v>
      </c>
      <c r="AM88" s="35"/>
      <c r="AN88" s="24">
        <v>2013</v>
      </c>
      <c r="AO88" s="35"/>
      <c r="AP88" s="35">
        <f t="shared" si="17"/>
        <v>393348</v>
      </c>
      <c r="AQ88" s="35"/>
      <c r="AR88" s="35">
        <v>0</v>
      </c>
      <c r="AS88" s="35"/>
      <c r="AT88" s="35">
        <v>0</v>
      </c>
      <c r="AU88" s="35"/>
      <c r="AV88" s="35">
        <f t="shared" si="14"/>
        <v>2394116</v>
      </c>
      <c r="AW88" s="35"/>
      <c r="AX88" s="23" t="s">
        <v>75</v>
      </c>
      <c r="AY88" s="35"/>
      <c r="AZ88" s="24">
        <f>53797</f>
        <v>53797</v>
      </c>
      <c r="BA88" s="35"/>
      <c r="BB88" s="24">
        <v>0</v>
      </c>
      <c r="BC88" s="35"/>
      <c r="BD88" s="24">
        <f>1054351+603583</f>
        <v>1657934</v>
      </c>
      <c r="BE88" s="35"/>
      <c r="BF88" s="24">
        <v>43687</v>
      </c>
      <c r="BG88" s="35"/>
      <c r="BH88" s="35"/>
      <c r="BI88" s="35"/>
      <c r="BJ88" s="17">
        <f t="shared" si="15"/>
        <v>1755418</v>
      </c>
    </row>
    <row r="89" spans="1:62" s="36" customFormat="1" ht="12">
      <c r="A89" s="23" t="s">
        <v>76</v>
      </c>
      <c r="B89" s="23"/>
      <c r="C89" s="35">
        <f t="shared" si="16"/>
        <v>703605</v>
      </c>
      <c r="D89" s="35"/>
      <c r="E89" s="24">
        <v>6400897</v>
      </c>
      <c r="F89" s="35"/>
      <c r="G89" s="24">
        <v>7104502</v>
      </c>
      <c r="H89" s="35"/>
      <c r="I89" s="35">
        <f t="shared" si="18"/>
        <v>138058</v>
      </c>
      <c r="J89" s="35"/>
      <c r="K89" s="24">
        <v>1162632</v>
      </c>
      <c r="L89" s="35"/>
      <c r="M89" s="24">
        <v>1300690</v>
      </c>
      <c r="N89" s="35"/>
      <c r="O89" s="24">
        <v>5430696</v>
      </c>
      <c r="P89" s="35"/>
      <c r="Q89" s="24">
        <v>0</v>
      </c>
      <c r="R89" s="35"/>
      <c r="S89" s="24">
        <v>373116</v>
      </c>
      <c r="T89" s="35"/>
      <c r="U89" s="35">
        <f t="shared" si="12"/>
        <v>5803812</v>
      </c>
      <c r="V89" s="35">
        <f t="shared" si="19"/>
        <v>0</v>
      </c>
      <c r="W89" s="35"/>
      <c r="X89" s="23" t="s">
        <v>76</v>
      </c>
      <c r="Y89" s="35"/>
      <c r="Z89" s="24">
        <v>711851</v>
      </c>
      <c r="AA89" s="35"/>
      <c r="AB89" s="24">
        <f>859033-154579</f>
        <v>704454</v>
      </c>
      <c r="AC89" s="35"/>
      <c r="AD89" s="24">
        <v>154579</v>
      </c>
      <c r="AE89" s="35"/>
      <c r="AF89" s="35">
        <f t="shared" si="13"/>
        <v>-147182</v>
      </c>
      <c r="AG89" s="35"/>
      <c r="AH89" s="24">
        <v>-15604</v>
      </c>
      <c r="AI89" s="35"/>
      <c r="AJ89" s="24">
        <v>0</v>
      </c>
      <c r="AK89" s="35"/>
      <c r="AL89" s="24">
        <v>0</v>
      </c>
      <c r="AM89" s="35"/>
      <c r="AN89" s="24">
        <v>0</v>
      </c>
      <c r="AO89" s="35"/>
      <c r="AP89" s="35">
        <f t="shared" si="17"/>
        <v>-162786</v>
      </c>
      <c r="AQ89" s="35"/>
      <c r="AR89" s="35">
        <v>0</v>
      </c>
      <c r="AS89" s="35"/>
      <c r="AT89" s="35">
        <v>0</v>
      </c>
      <c r="AU89" s="35"/>
      <c r="AV89" s="35">
        <f t="shared" si="14"/>
        <v>565547</v>
      </c>
      <c r="AW89" s="35"/>
      <c r="AX89" s="23" t="s">
        <v>76</v>
      </c>
      <c r="AY89" s="35"/>
      <c r="AZ89" s="24">
        <v>0</v>
      </c>
      <c r="BA89" s="35"/>
      <c r="BB89" s="24">
        <v>0</v>
      </c>
      <c r="BC89" s="35"/>
      <c r="BD89" s="24">
        <f>376861+503187</f>
        <v>880048</v>
      </c>
      <c r="BE89" s="35"/>
      <c r="BF89" s="24">
        <f>2645+279939</f>
        <v>282584</v>
      </c>
      <c r="BG89" s="35"/>
      <c r="BH89" s="35"/>
      <c r="BI89" s="35"/>
      <c r="BJ89" s="17">
        <f t="shared" si="15"/>
        <v>1162632</v>
      </c>
    </row>
    <row r="90" spans="1:62" s="36" customFormat="1" ht="12" hidden="1">
      <c r="A90" s="23" t="s">
        <v>77</v>
      </c>
      <c r="B90" s="23"/>
      <c r="C90" s="35">
        <f t="shared" si="16"/>
        <v>0</v>
      </c>
      <c r="D90" s="35"/>
      <c r="E90" s="24">
        <v>0</v>
      </c>
      <c r="F90" s="35"/>
      <c r="G90" s="24">
        <v>0</v>
      </c>
      <c r="H90" s="35"/>
      <c r="I90" s="35">
        <f t="shared" si="18"/>
        <v>0</v>
      </c>
      <c r="J90" s="35"/>
      <c r="K90" s="24">
        <v>0</v>
      </c>
      <c r="L90" s="35"/>
      <c r="M90" s="24">
        <v>0</v>
      </c>
      <c r="N90" s="35"/>
      <c r="O90" s="24">
        <v>0</v>
      </c>
      <c r="P90" s="35"/>
      <c r="Q90" s="24">
        <v>0</v>
      </c>
      <c r="R90" s="35"/>
      <c r="S90" s="24">
        <v>0</v>
      </c>
      <c r="T90" s="35"/>
      <c r="U90" s="35">
        <f t="shared" si="12"/>
        <v>0</v>
      </c>
      <c r="V90" s="35">
        <f t="shared" si="19"/>
        <v>0</v>
      </c>
      <c r="W90" s="35"/>
      <c r="X90" s="23" t="s">
        <v>77</v>
      </c>
      <c r="Y90" s="35"/>
      <c r="Z90" s="24">
        <v>0</v>
      </c>
      <c r="AA90" s="35"/>
      <c r="AB90" s="24">
        <v>0</v>
      </c>
      <c r="AC90" s="35"/>
      <c r="AD90" s="24">
        <v>0</v>
      </c>
      <c r="AE90" s="35"/>
      <c r="AF90" s="35">
        <f t="shared" si="13"/>
        <v>0</v>
      </c>
      <c r="AG90" s="35"/>
      <c r="AH90" s="24">
        <v>0</v>
      </c>
      <c r="AI90" s="35"/>
      <c r="AJ90" s="24">
        <v>0</v>
      </c>
      <c r="AK90" s="35"/>
      <c r="AL90" s="24">
        <v>0</v>
      </c>
      <c r="AM90" s="35"/>
      <c r="AN90" s="24">
        <v>0</v>
      </c>
      <c r="AO90" s="35"/>
      <c r="AP90" s="35">
        <f t="shared" si="17"/>
        <v>0</v>
      </c>
      <c r="AQ90" s="35"/>
      <c r="AR90" s="35">
        <v>0</v>
      </c>
      <c r="AS90" s="35"/>
      <c r="AT90" s="35">
        <v>0</v>
      </c>
      <c r="AU90" s="35"/>
      <c r="AV90" s="35">
        <f t="shared" si="14"/>
        <v>0</v>
      </c>
      <c r="AW90" s="35"/>
      <c r="AX90" s="23" t="s">
        <v>77</v>
      </c>
      <c r="AY90" s="35"/>
      <c r="AZ90" s="24">
        <v>0</v>
      </c>
      <c r="BA90" s="35"/>
      <c r="BB90" s="24">
        <v>0</v>
      </c>
      <c r="BC90" s="35"/>
      <c r="BD90" s="24">
        <v>0</v>
      </c>
      <c r="BE90" s="35"/>
      <c r="BF90" s="24">
        <v>0</v>
      </c>
      <c r="BG90" s="35"/>
      <c r="BH90" s="35"/>
      <c r="BI90" s="35"/>
      <c r="BJ90" s="17">
        <f t="shared" si="15"/>
        <v>0</v>
      </c>
    </row>
    <row r="91" spans="1:62" s="36" customFormat="1" ht="12" hidden="1">
      <c r="A91" s="23" t="s">
        <v>78</v>
      </c>
      <c r="B91" s="23"/>
      <c r="C91" s="35">
        <f t="shared" si="16"/>
        <v>0</v>
      </c>
      <c r="D91" s="35"/>
      <c r="E91" s="24">
        <v>0</v>
      </c>
      <c r="F91" s="35"/>
      <c r="G91" s="24">
        <v>0</v>
      </c>
      <c r="H91" s="35"/>
      <c r="I91" s="35">
        <f t="shared" si="18"/>
        <v>0</v>
      </c>
      <c r="J91" s="35"/>
      <c r="K91" s="24">
        <v>0</v>
      </c>
      <c r="L91" s="35"/>
      <c r="M91" s="24">
        <v>0</v>
      </c>
      <c r="N91" s="35"/>
      <c r="O91" s="24">
        <v>0</v>
      </c>
      <c r="P91" s="35"/>
      <c r="Q91" s="24">
        <v>0</v>
      </c>
      <c r="R91" s="35"/>
      <c r="S91" s="24">
        <v>0</v>
      </c>
      <c r="T91" s="35"/>
      <c r="U91" s="35">
        <f t="shared" si="12"/>
        <v>0</v>
      </c>
      <c r="V91" s="35">
        <f t="shared" si="19"/>
        <v>0</v>
      </c>
      <c r="W91" s="35"/>
      <c r="X91" s="23" t="s">
        <v>78</v>
      </c>
      <c r="Y91" s="35"/>
      <c r="Z91" s="24">
        <v>0</v>
      </c>
      <c r="AA91" s="35"/>
      <c r="AB91" s="24">
        <v>0</v>
      </c>
      <c r="AC91" s="35"/>
      <c r="AD91" s="24">
        <v>0</v>
      </c>
      <c r="AE91" s="35"/>
      <c r="AF91" s="35">
        <f t="shared" si="13"/>
        <v>0</v>
      </c>
      <c r="AG91" s="35"/>
      <c r="AH91" s="24">
        <v>0</v>
      </c>
      <c r="AI91" s="35"/>
      <c r="AJ91" s="24">
        <v>0</v>
      </c>
      <c r="AK91" s="35"/>
      <c r="AL91" s="24">
        <v>0</v>
      </c>
      <c r="AM91" s="35"/>
      <c r="AN91" s="24">
        <v>0</v>
      </c>
      <c r="AO91" s="35"/>
      <c r="AP91" s="35">
        <f t="shared" si="17"/>
        <v>0</v>
      </c>
      <c r="AQ91" s="35"/>
      <c r="AR91" s="35">
        <v>0</v>
      </c>
      <c r="AS91" s="35"/>
      <c r="AT91" s="35">
        <v>0</v>
      </c>
      <c r="AU91" s="35"/>
      <c r="AV91" s="35">
        <f t="shared" si="14"/>
        <v>0</v>
      </c>
      <c r="AW91" s="35"/>
      <c r="AX91" s="23" t="s">
        <v>78</v>
      </c>
      <c r="AY91" s="35"/>
      <c r="AZ91" s="24">
        <v>0</v>
      </c>
      <c r="BA91" s="35"/>
      <c r="BB91" s="24">
        <v>0</v>
      </c>
      <c r="BC91" s="35"/>
      <c r="BD91" s="24">
        <v>0</v>
      </c>
      <c r="BE91" s="35"/>
      <c r="BF91" s="24">
        <v>0</v>
      </c>
      <c r="BG91" s="35"/>
      <c r="BH91" s="35"/>
      <c r="BI91" s="35"/>
      <c r="BJ91" s="17">
        <f t="shared" si="15"/>
        <v>0</v>
      </c>
    </row>
    <row r="92" spans="1:62" s="36" customFormat="1" ht="12" hidden="1">
      <c r="A92" s="23" t="s">
        <v>79</v>
      </c>
      <c r="B92" s="23"/>
      <c r="C92" s="35">
        <f t="shared" si="16"/>
        <v>0</v>
      </c>
      <c r="D92" s="35"/>
      <c r="E92" s="24">
        <v>0</v>
      </c>
      <c r="F92" s="35"/>
      <c r="G92" s="24">
        <v>0</v>
      </c>
      <c r="H92" s="35"/>
      <c r="I92" s="35">
        <f t="shared" si="18"/>
        <v>0</v>
      </c>
      <c r="J92" s="35"/>
      <c r="K92" s="24">
        <v>0</v>
      </c>
      <c r="L92" s="35"/>
      <c r="M92" s="24">
        <v>0</v>
      </c>
      <c r="N92" s="35"/>
      <c r="O92" s="24">
        <v>0</v>
      </c>
      <c r="P92" s="35"/>
      <c r="Q92" s="24">
        <v>0</v>
      </c>
      <c r="R92" s="35"/>
      <c r="S92" s="24">
        <v>0</v>
      </c>
      <c r="T92" s="35"/>
      <c r="U92" s="35">
        <f t="shared" si="12"/>
        <v>0</v>
      </c>
      <c r="V92" s="35">
        <f t="shared" si="19"/>
        <v>0</v>
      </c>
      <c r="W92" s="35"/>
      <c r="X92" s="23" t="s">
        <v>79</v>
      </c>
      <c r="Y92" s="35"/>
      <c r="Z92" s="24">
        <v>0</v>
      </c>
      <c r="AA92" s="35"/>
      <c r="AB92" s="24">
        <v>0</v>
      </c>
      <c r="AC92" s="35"/>
      <c r="AD92" s="24">
        <v>0</v>
      </c>
      <c r="AE92" s="35"/>
      <c r="AF92" s="35">
        <f t="shared" si="13"/>
        <v>0</v>
      </c>
      <c r="AG92" s="35"/>
      <c r="AH92" s="24">
        <v>0</v>
      </c>
      <c r="AI92" s="35"/>
      <c r="AJ92" s="24">
        <v>0</v>
      </c>
      <c r="AK92" s="35"/>
      <c r="AL92" s="24">
        <v>0</v>
      </c>
      <c r="AM92" s="35"/>
      <c r="AN92" s="24">
        <v>0</v>
      </c>
      <c r="AO92" s="35"/>
      <c r="AP92" s="35">
        <f t="shared" si="17"/>
        <v>0</v>
      </c>
      <c r="AQ92" s="35"/>
      <c r="AR92" s="35">
        <v>0</v>
      </c>
      <c r="AS92" s="35"/>
      <c r="AT92" s="35">
        <v>0</v>
      </c>
      <c r="AU92" s="35"/>
      <c r="AV92" s="35">
        <f t="shared" si="14"/>
        <v>0</v>
      </c>
      <c r="AW92" s="35"/>
      <c r="AX92" s="23" t="s">
        <v>79</v>
      </c>
      <c r="AY92" s="35"/>
      <c r="AZ92" s="24">
        <v>0</v>
      </c>
      <c r="BA92" s="35"/>
      <c r="BB92" s="24">
        <v>0</v>
      </c>
      <c r="BC92" s="35"/>
      <c r="BD92" s="24">
        <v>0</v>
      </c>
      <c r="BE92" s="35"/>
      <c r="BF92" s="24">
        <v>0</v>
      </c>
      <c r="BG92" s="35"/>
      <c r="BH92" s="35"/>
      <c r="BI92" s="35"/>
      <c r="BJ92" s="17">
        <f t="shared" si="15"/>
        <v>0</v>
      </c>
    </row>
    <row r="93" spans="1:62" s="36" customFormat="1" ht="12">
      <c r="A93" s="23" t="s">
        <v>80</v>
      </c>
      <c r="B93" s="23"/>
      <c r="C93" s="35">
        <f t="shared" si="16"/>
        <v>16227921</v>
      </c>
      <c r="D93" s="35"/>
      <c r="E93" s="24">
        <v>109289673</v>
      </c>
      <c r="F93" s="35"/>
      <c r="G93" s="24">
        <v>125517594</v>
      </c>
      <c r="H93" s="35"/>
      <c r="I93" s="35">
        <f t="shared" si="18"/>
        <v>1927003</v>
      </c>
      <c r="J93" s="35"/>
      <c r="K93" s="24">
        <v>9959615</v>
      </c>
      <c r="L93" s="35"/>
      <c r="M93" s="24">
        <v>11886618</v>
      </c>
      <c r="N93" s="35"/>
      <c r="O93" s="24">
        <v>96060230</v>
      </c>
      <c r="P93" s="35"/>
      <c r="Q93" s="24">
        <v>65561</v>
      </c>
      <c r="R93" s="35"/>
      <c r="S93" s="24">
        <v>17505185</v>
      </c>
      <c r="T93" s="35"/>
      <c r="U93" s="35">
        <f t="shared" si="12"/>
        <v>113630976</v>
      </c>
      <c r="V93" s="35">
        <f t="shared" si="19"/>
        <v>0</v>
      </c>
      <c r="W93" s="35"/>
      <c r="X93" s="23" t="s">
        <v>80</v>
      </c>
      <c r="Y93" s="35"/>
      <c r="Z93" s="24">
        <v>11003791</v>
      </c>
      <c r="AA93" s="35"/>
      <c r="AB93" s="24">
        <f>12299167-4378159</f>
        <v>7921008</v>
      </c>
      <c r="AC93" s="35"/>
      <c r="AD93" s="24">
        <v>4378159</v>
      </c>
      <c r="AE93" s="35"/>
      <c r="AF93" s="35">
        <f t="shared" si="13"/>
        <v>-1295376</v>
      </c>
      <c r="AG93" s="35"/>
      <c r="AH93" s="24">
        <v>-413605</v>
      </c>
      <c r="AI93" s="35"/>
      <c r="AJ93" s="24">
        <v>0</v>
      </c>
      <c r="AK93" s="35"/>
      <c r="AL93" s="24">
        <v>0</v>
      </c>
      <c r="AM93" s="35"/>
      <c r="AN93" s="24">
        <f>1714150+1571109</f>
        <v>3285259</v>
      </c>
      <c r="AO93" s="35"/>
      <c r="AP93" s="35">
        <f t="shared" si="17"/>
        <v>1576278</v>
      </c>
      <c r="AQ93" s="35"/>
      <c r="AR93" s="35">
        <v>0</v>
      </c>
      <c r="AS93" s="35"/>
      <c r="AT93" s="35">
        <v>0</v>
      </c>
      <c r="AU93" s="35"/>
      <c r="AV93" s="35">
        <f t="shared" si="14"/>
        <v>14300918</v>
      </c>
      <c r="AW93" s="35"/>
      <c r="AX93" s="23" t="s">
        <v>80</v>
      </c>
      <c r="AY93" s="35"/>
      <c r="AZ93" s="24">
        <v>0</v>
      </c>
      <c r="BA93" s="35"/>
      <c r="BB93" s="24">
        <f>5178651</f>
        <v>5178651</v>
      </c>
      <c r="BC93" s="35"/>
      <c r="BD93" s="24">
        <v>4584837</v>
      </c>
      <c r="BE93" s="35"/>
      <c r="BF93" s="24">
        <f>196127</f>
        <v>196127</v>
      </c>
      <c r="BG93" s="35"/>
      <c r="BH93" s="35"/>
      <c r="BI93" s="35"/>
      <c r="BJ93" s="17">
        <f t="shared" si="15"/>
        <v>9959615</v>
      </c>
    </row>
    <row r="94" spans="1:62" s="36" customFormat="1" ht="12" hidden="1">
      <c r="A94" s="23" t="s">
        <v>81</v>
      </c>
      <c r="B94" s="23"/>
      <c r="C94" s="35">
        <f t="shared" si="16"/>
        <v>0</v>
      </c>
      <c r="D94" s="35"/>
      <c r="E94" s="24">
        <v>0</v>
      </c>
      <c r="F94" s="35"/>
      <c r="G94" s="24">
        <v>0</v>
      </c>
      <c r="H94" s="35"/>
      <c r="I94" s="35">
        <f>+M94-K94</f>
        <v>0</v>
      </c>
      <c r="J94" s="35"/>
      <c r="K94" s="24">
        <v>0</v>
      </c>
      <c r="L94" s="35"/>
      <c r="M94" s="24">
        <v>0</v>
      </c>
      <c r="N94" s="35"/>
      <c r="O94" s="24">
        <v>0</v>
      </c>
      <c r="P94" s="35"/>
      <c r="Q94" s="24">
        <v>0</v>
      </c>
      <c r="R94" s="35"/>
      <c r="S94" s="24">
        <v>0</v>
      </c>
      <c r="T94" s="35"/>
      <c r="U94" s="35">
        <f t="shared" si="12"/>
        <v>0</v>
      </c>
      <c r="V94" s="35">
        <f t="shared" si="19"/>
        <v>0</v>
      </c>
      <c r="W94" s="35"/>
      <c r="X94" s="23" t="s">
        <v>81</v>
      </c>
      <c r="Y94" s="35"/>
      <c r="Z94" s="24">
        <v>0</v>
      </c>
      <c r="AA94" s="35"/>
      <c r="AB94" s="24">
        <v>0</v>
      </c>
      <c r="AC94" s="35"/>
      <c r="AD94" s="24">
        <v>0</v>
      </c>
      <c r="AE94" s="35"/>
      <c r="AF94" s="35">
        <f t="shared" si="13"/>
        <v>0</v>
      </c>
      <c r="AG94" s="35"/>
      <c r="AH94" s="24">
        <v>0</v>
      </c>
      <c r="AI94" s="35"/>
      <c r="AJ94" s="24">
        <v>0</v>
      </c>
      <c r="AK94" s="35"/>
      <c r="AL94" s="24">
        <v>0</v>
      </c>
      <c r="AM94" s="35"/>
      <c r="AN94" s="24">
        <v>0</v>
      </c>
      <c r="AO94" s="35"/>
      <c r="AP94" s="35">
        <f t="shared" si="17"/>
        <v>0</v>
      </c>
      <c r="AQ94" s="35"/>
      <c r="AR94" s="35">
        <v>0</v>
      </c>
      <c r="AS94" s="35"/>
      <c r="AT94" s="35">
        <v>0</v>
      </c>
      <c r="AU94" s="35"/>
      <c r="AV94" s="35">
        <f t="shared" si="14"/>
        <v>0</v>
      </c>
      <c r="AW94" s="35"/>
      <c r="AX94" s="23" t="s">
        <v>81</v>
      </c>
      <c r="AY94" s="35"/>
      <c r="AZ94" s="24">
        <v>0</v>
      </c>
      <c r="BA94" s="35"/>
      <c r="BB94" s="24">
        <v>0</v>
      </c>
      <c r="BC94" s="35"/>
      <c r="BD94" s="24">
        <v>0</v>
      </c>
      <c r="BE94" s="35"/>
      <c r="BF94" s="24">
        <v>0</v>
      </c>
      <c r="BG94" s="35"/>
      <c r="BH94" s="35"/>
      <c r="BI94" s="35"/>
      <c r="BJ94" s="17">
        <f t="shared" si="15"/>
        <v>0</v>
      </c>
    </row>
    <row r="95" spans="1:62" s="36" customFormat="1" ht="12" hidden="1">
      <c r="A95" s="23" t="s">
        <v>82</v>
      </c>
      <c r="B95" s="23"/>
      <c r="C95" s="35">
        <f t="shared" si="16"/>
        <v>0</v>
      </c>
      <c r="D95" s="35"/>
      <c r="E95" s="24">
        <v>0</v>
      </c>
      <c r="F95" s="35"/>
      <c r="G95" s="24">
        <v>0</v>
      </c>
      <c r="H95" s="35"/>
      <c r="I95" s="35">
        <f>+M95-K95</f>
        <v>0</v>
      </c>
      <c r="J95" s="35"/>
      <c r="K95" s="24">
        <v>0</v>
      </c>
      <c r="L95" s="35"/>
      <c r="M95" s="24">
        <v>0</v>
      </c>
      <c r="N95" s="35"/>
      <c r="O95" s="24">
        <v>0</v>
      </c>
      <c r="P95" s="35"/>
      <c r="Q95" s="24">
        <v>0</v>
      </c>
      <c r="R95" s="35"/>
      <c r="S95" s="24">
        <v>0</v>
      </c>
      <c r="T95" s="35"/>
      <c r="U95" s="35">
        <f t="shared" si="12"/>
        <v>0</v>
      </c>
      <c r="V95" s="35">
        <f t="shared" si="19"/>
        <v>0</v>
      </c>
      <c r="W95" s="35"/>
      <c r="X95" s="23" t="s">
        <v>82</v>
      </c>
      <c r="Y95" s="35"/>
      <c r="Z95" s="24">
        <v>0</v>
      </c>
      <c r="AA95" s="35"/>
      <c r="AB95" s="24">
        <v>0</v>
      </c>
      <c r="AC95" s="35"/>
      <c r="AD95" s="24">
        <v>0</v>
      </c>
      <c r="AE95" s="35"/>
      <c r="AF95" s="35">
        <f t="shared" si="13"/>
        <v>0</v>
      </c>
      <c r="AG95" s="35"/>
      <c r="AH95" s="24">
        <v>0</v>
      </c>
      <c r="AI95" s="35"/>
      <c r="AJ95" s="24">
        <v>0</v>
      </c>
      <c r="AK95" s="35"/>
      <c r="AL95" s="24">
        <v>0</v>
      </c>
      <c r="AM95" s="35"/>
      <c r="AN95" s="24">
        <v>0</v>
      </c>
      <c r="AO95" s="35"/>
      <c r="AP95" s="35">
        <f t="shared" si="17"/>
        <v>0</v>
      </c>
      <c r="AQ95" s="35"/>
      <c r="AR95" s="35">
        <v>0</v>
      </c>
      <c r="AS95" s="35"/>
      <c r="AT95" s="35">
        <v>0</v>
      </c>
      <c r="AU95" s="35"/>
      <c r="AV95" s="35">
        <f t="shared" si="14"/>
        <v>0</v>
      </c>
      <c r="AW95" s="35"/>
      <c r="AX95" s="23" t="s">
        <v>82</v>
      </c>
      <c r="AY95" s="35"/>
      <c r="AZ95" s="24">
        <v>0</v>
      </c>
      <c r="BA95" s="35"/>
      <c r="BB95" s="24">
        <v>0</v>
      </c>
      <c r="BC95" s="35"/>
      <c r="BD95" s="24">
        <v>0</v>
      </c>
      <c r="BE95" s="35"/>
      <c r="BF95" s="24">
        <v>0</v>
      </c>
      <c r="BG95" s="35"/>
      <c r="BH95" s="35"/>
      <c r="BI95" s="35"/>
      <c r="BJ95" s="17">
        <f t="shared" si="15"/>
        <v>0</v>
      </c>
    </row>
    <row r="96" spans="1:62" s="36" customFormat="1" ht="12" hidden="1">
      <c r="A96" s="23" t="s">
        <v>174</v>
      </c>
      <c r="B96" s="23"/>
      <c r="C96" s="35">
        <f>+G96-E96</f>
        <v>0</v>
      </c>
      <c r="D96" s="35"/>
      <c r="E96" s="24">
        <v>0</v>
      </c>
      <c r="F96" s="35"/>
      <c r="G96" s="24">
        <v>0</v>
      </c>
      <c r="H96" s="35"/>
      <c r="I96" s="35">
        <f>+M96-K96</f>
        <v>0</v>
      </c>
      <c r="J96" s="35"/>
      <c r="K96" s="24">
        <v>0</v>
      </c>
      <c r="L96" s="35"/>
      <c r="M96" s="24">
        <v>0</v>
      </c>
      <c r="N96" s="35"/>
      <c r="O96" s="24">
        <v>0</v>
      </c>
      <c r="P96" s="35"/>
      <c r="Q96" s="24">
        <v>0</v>
      </c>
      <c r="R96" s="35"/>
      <c r="S96" s="24">
        <v>0</v>
      </c>
      <c r="T96" s="35"/>
      <c r="U96" s="35">
        <f t="shared" si="12"/>
        <v>0</v>
      </c>
      <c r="V96" s="35">
        <f t="shared" si="19"/>
        <v>0</v>
      </c>
      <c r="W96" s="35"/>
      <c r="X96" s="23" t="s">
        <v>174</v>
      </c>
      <c r="Y96" s="35"/>
      <c r="Z96" s="35">
        <v>0</v>
      </c>
      <c r="AA96" s="35"/>
      <c r="AB96" s="35">
        <v>0</v>
      </c>
      <c r="AC96" s="35"/>
      <c r="AD96" s="35">
        <v>0</v>
      </c>
      <c r="AE96" s="35"/>
      <c r="AF96" s="35">
        <f t="shared" si="13"/>
        <v>0</v>
      </c>
      <c r="AG96" s="35"/>
      <c r="AH96" s="35">
        <v>0</v>
      </c>
      <c r="AI96" s="35"/>
      <c r="AJ96" s="35">
        <v>0</v>
      </c>
      <c r="AK96" s="35"/>
      <c r="AL96" s="35">
        <v>0</v>
      </c>
      <c r="AM96" s="35"/>
      <c r="AN96" s="35">
        <v>0</v>
      </c>
      <c r="AO96" s="35"/>
      <c r="AP96" s="35">
        <f>+AN96+AJ96+AH96+AF96-AL96</f>
        <v>0</v>
      </c>
      <c r="AQ96" s="35"/>
      <c r="AR96" s="35">
        <v>0</v>
      </c>
      <c r="AS96" s="35"/>
      <c r="AT96" s="35">
        <v>0</v>
      </c>
      <c r="AU96" s="35"/>
      <c r="AV96" s="35">
        <f t="shared" si="14"/>
        <v>0</v>
      </c>
      <c r="AW96" s="35"/>
      <c r="AX96" s="23" t="s">
        <v>174</v>
      </c>
      <c r="AY96" s="35"/>
      <c r="AZ96" s="35">
        <v>0</v>
      </c>
      <c r="BA96" s="35"/>
      <c r="BB96" s="35">
        <v>0</v>
      </c>
      <c r="BC96" s="35"/>
      <c r="BD96" s="35">
        <v>0</v>
      </c>
      <c r="BE96" s="35"/>
      <c r="BF96" s="35">
        <v>0</v>
      </c>
      <c r="BG96" s="35"/>
      <c r="BH96" s="35"/>
      <c r="BI96" s="35"/>
      <c r="BJ96" s="17">
        <f t="shared" si="15"/>
        <v>0</v>
      </c>
    </row>
    <row r="97" spans="1:62" s="36" customFormat="1" ht="12" hidden="1">
      <c r="A97" s="23" t="s">
        <v>83</v>
      </c>
      <c r="B97" s="23"/>
      <c r="C97" s="35">
        <f>+G97-E97</f>
        <v>0</v>
      </c>
      <c r="D97" s="35"/>
      <c r="E97" s="24">
        <v>0</v>
      </c>
      <c r="F97" s="35"/>
      <c r="G97" s="24">
        <v>0</v>
      </c>
      <c r="H97" s="35"/>
      <c r="I97" s="35">
        <f>+M97-K97</f>
        <v>0</v>
      </c>
      <c r="J97" s="35"/>
      <c r="K97" s="24">
        <v>0</v>
      </c>
      <c r="L97" s="35"/>
      <c r="M97" s="24">
        <v>0</v>
      </c>
      <c r="N97" s="35"/>
      <c r="O97" s="24">
        <v>0</v>
      </c>
      <c r="P97" s="35"/>
      <c r="Q97" s="24">
        <v>0</v>
      </c>
      <c r="R97" s="35"/>
      <c r="S97" s="24">
        <v>0</v>
      </c>
      <c r="T97" s="35"/>
      <c r="U97" s="35">
        <f t="shared" si="12"/>
        <v>0</v>
      </c>
      <c r="V97" s="35">
        <f t="shared" si="19"/>
        <v>0</v>
      </c>
      <c r="W97" s="35"/>
      <c r="X97" s="23" t="s">
        <v>83</v>
      </c>
      <c r="Y97" s="35"/>
      <c r="Z97" s="35">
        <v>0</v>
      </c>
      <c r="AA97" s="35"/>
      <c r="AB97" s="35">
        <v>0</v>
      </c>
      <c r="AC97" s="35"/>
      <c r="AD97" s="35">
        <v>0</v>
      </c>
      <c r="AE97" s="35"/>
      <c r="AF97" s="35">
        <f t="shared" si="13"/>
        <v>0</v>
      </c>
      <c r="AG97" s="35"/>
      <c r="AH97" s="35">
        <v>0</v>
      </c>
      <c r="AI97" s="35"/>
      <c r="AJ97" s="35">
        <v>0</v>
      </c>
      <c r="AK97" s="35"/>
      <c r="AL97" s="35">
        <v>0</v>
      </c>
      <c r="AM97" s="35"/>
      <c r="AN97" s="35">
        <v>0</v>
      </c>
      <c r="AO97" s="35"/>
      <c r="AP97" s="35">
        <f>+AN97+AJ97+AH97+AF97-AL97</f>
        <v>0</v>
      </c>
      <c r="AQ97" s="35"/>
      <c r="AR97" s="35">
        <v>0</v>
      </c>
      <c r="AS97" s="35"/>
      <c r="AT97" s="35">
        <v>0</v>
      </c>
      <c r="AU97" s="35"/>
      <c r="AV97" s="35">
        <f t="shared" si="14"/>
        <v>0</v>
      </c>
      <c r="AW97" s="35"/>
      <c r="AX97" s="23" t="s">
        <v>83</v>
      </c>
      <c r="AY97" s="35"/>
      <c r="AZ97" s="35">
        <v>0</v>
      </c>
      <c r="BA97" s="35"/>
      <c r="BB97" s="35">
        <v>0</v>
      </c>
      <c r="BC97" s="35"/>
      <c r="BD97" s="35">
        <v>0</v>
      </c>
      <c r="BE97" s="35"/>
      <c r="BF97" s="35">
        <v>0</v>
      </c>
      <c r="BG97" s="35"/>
      <c r="BH97" s="35"/>
      <c r="BI97" s="35"/>
      <c r="BJ97" s="17">
        <f t="shared" si="15"/>
        <v>0</v>
      </c>
    </row>
    <row r="98" spans="1:62" s="36" customFormat="1" ht="12" hidden="1">
      <c r="A98" s="23" t="s">
        <v>175</v>
      </c>
      <c r="B98" s="23"/>
      <c r="C98" s="35">
        <v>0</v>
      </c>
      <c r="D98" s="35"/>
      <c r="E98" s="24">
        <v>0</v>
      </c>
      <c r="F98" s="35"/>
      <c r="G98" s="24">
        <v>0</v>
      </c>
      <c r="H98" s="35"/>
      <c r="I98" s="35">
        <v>0</v>
      </c>
      <c r="J98" s="35"/>
      <c r="K98" s="24">
        <v>0</v>
      </c>
      <c r="L98" s="35"/>
      <c r="M98" s="24">
        <v>0</v>
      </c>
      <c r="N98" s="35"/>
      <c r="O98" s="24">
        <v>0</v>
      </c>
      <c r="P98" s="35"/>
      <c r="Q98" s="24">
        <v>0</v>
      </c>
      <c r="R98" s="35"/>
      <c r="S98" s="24">
        <v>0</v>
      </c>
      <c r="T98" s="35"/>
      <c r="U98" s="35">
        <v>0</v>
      </c>
      <c r="V98" s="35"/>
      <c r="W98" s="35"/>
      <c r="X98" s="35"/>
      <c r="Y98" s="35"/>
      <c r="Z98" s="35">
        <v>0</v>
      </c>
      <c r="AA98" s="35"/>
      <c r="AB98" s="35">
        <v>0</v>
      </c>
      <c r="AC98" s="35"/>
      <c r="AD98" s="35">
        <v>0</v>
      </c>
      <c r="AE98" s="35"/>
      <c r="AF98" s="35">
        <v>0</v>
      </c>
      <c r="AG98" s="35"/>
      <c r="AH98" s="35">
        <v>0</v>
      </c>
      <c r="AI98" s="35"/>
      <c r="AJ98" s="35">
        <v>0</v>
      </c>
      <c r="AK98" s="35"/>
      <c r="AL98" s="35">
        <v>0</v>
      </c>
      <c r="AM98" s="35"/>
      <c r="AN98" s="35">
        <v>0</v>
      </c>
      <c r="AO98" s="35"/>
      <c r="AP98" s="35">
        <v>0</v>
      </c>
      <c r="AQ98" s="35"/>
      <c r="AR98" s="35">
        <v>0</v>
      </c>
      <c r="AS98" s="35"/>
      <c r="AT98" s="35">
        <v>0</v>
      </c>
      <c r="AU98" s="35"/>
      <c r="AV98" s="35">
        <v>0</v>
      </c>
      <c r="AW98" s="35"/>
      <c r="AX98" s="35"/>
      <c r="AY98" s="35"/>
      <c r="AZ98" s="35">
        <v>0</v>
      </c>
      <c r="BA98" s="35"/>
      <c r="BB98" s="35">
        <v>0</v>
      </c>
      <c r="BC98" s="35"/>
      <c r="BD98" s="35">
        <v>0</v>
      </c>
      <c r="BE98" s="35"/>
      <c r="BF98" s="35">
        <v>0</v>
      </c>
      <c r="BG98" s="35"/>
      <c r="BH98" s="35"/>
      <c r="BI98" s="35"/>
      <c r="BJ98" s="17">
        <f>SUM(AZ98:BF98)+BH98</f>
        <v>0</v>
      </c>
    </row>
    <row r="99" spans="1:39" s="36" customFormat="1" ht="12">
      <c r="A99" s="23"/>
      <c r="B99" s="23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68"/>
      <c r="AC99" s="68"/>
      <c r="AD99" s="68"/>
      <c r="AE99" s="68"/>
      <c r="AF99" s="78"/>
      <c r="AG99" s="78"/>
      <c r="AH99" s="78"/>
      <c r="AI99" s="78"/>
      <c r="AJ99" s="78"/>
      <c r="AK99" s="78"/>
      <c r="AL99" s="78"/>
      <c r="AM99" s="78"/>
    </row>
    <row r="100" spans="3:31" ht="12.7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84"/>
      <c r="AC100" s="84"/>
      <c r="AD100" s="84"/>
      <c r="AE100" s="84"/>
    </row>
    <row r="101" spans="3:31" ht="12.7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84"/>
      <c r="AC101" s="84"/>
      <c r="AD101" s="84"/>
      <c r="AE101" s="84"/>
    </row>
    <row r="102" spans="3:31" ht="12.7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84"/>
      <c r="AC102" s="84"/>
      <c r="AD102" s="84"/>
      <c r="AE102" s="84"/>
    </row>
    <row r="103" spans="3:31" ht="12.7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84"/>
      <c r="AC103" s="84"/>
      <c r="AD103" s="84"/>
      <c r="AE103" s="84"/>
    </row>
    <row r="104" spans="3:31" ht="12.7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84"/>
      <c r="AC104" s="84"/>
      <c r="AD104" s="84"/>
      <c r="AE104" s="84"/>
    </row>
    <row r="105" spans="3:31" ht="12.7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84"/>
      <c r="AC105" s="84"/>
      <c r="AD105" s="84"/>
      <c r="AE105" s="84"/>
    </row>
    <row r="106" spans="3:31" ht="12.7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84"/>
      <c r="AC106" s="84"/>
      <c r="AD106" s="84"/>
      <c r="AE106" s="84"/>
    </row>
    <row r="107" spans="3:31" ht="12.7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84"/>
      <c r="AC107" s="84"/>
      <c r="AD107" s="84"/>
      <c r="AE107" s="84"/>
    </row>
    <row r="108" spans="3:31" ht="12.7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84"/>
      <c r="AC108" s="84"/>
      <c r="AD108" s="84"/>
      <c r="AE108" s="84"/>
    </row>
    <row r="109" spans="3:31" ht="12.7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84"/>
      <c r="AC109" s="84"/>
      <c r="AD109" s="84"/>
      <c r="AE109" s="84"/>
    </row>
    <row r="110" spans="3:31" ht="12.7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84"/>
      <c r="AC110" s="84"/>
      <c r="AD110" s="84"/>
      <c r="AE110" s="84"/>
    </row>
    <row r="111" spans="3:31" ht="12.7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84"/>
      <c r="AC111" s="84"/>
      <c r="AD111" s="84"/>
      <c r="AE111" s="84"/>
    </row>
    <row r="112" spans="3:31" ht="12.7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84"/>
      <c r="AC112" s="84"/>
      <c r="AD112" s="84"/>
      <c r="AE112" s="84"/>
    </row>
    <row r="113" spans="3:31" ht="12.7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84"/>
      <c r="AC113" s="84"/>
      <c r="AD113" s="84"/>
      <c r="AE113" s="84"/>
    </row>
    <row r="114" spans="3:31" ht="12.7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84"/>
      <c r="AC114" s="84"/>
      <c r="AD114" s="84"/>
      <c r="AE114" s="84"/>
    </row>
    <row r="115" spans="3:31" ht="12.7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84"/>
      <c r="AC115" s="84"/>
      <c r="AD115" s="84"/>
      <c r="AE115" s="84"/>
    </row>
  </sheetData>
  <sheetProtection/>
  <printOptions/>
  <pageMargins left="1" right="1" top="0.5" bottom="0.5" header="0" footer="0.25"/>
  <pageSetup firstPageNumber="40" useFirstPageNumber="1" horizontalDpi="600" verticalDpi="600" orientation="portrait" r:id="rId1"/>
  <headerFooter scaleWithDoc="0" alignWithMargins="0">
    <oddFooter>&amp;C&amp;"Times New Roman,Regular"&amp;11&amp;P</oddFooter>
  </headerFooter>
  <colBreaks count="2" manualBreakCount="2">
    <brk id="21" max="97" man="1"/>
    <brk id="49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133"/>
  <sheetViews>
    <sheetView zoomScale="120" zoomScaleNormal="120" zoomScaleSheetLayoutView="75" zoomScalePageLayoutView="0" workbookViewId="0" topLeftCell="A1">
      <pane xSplit="1" ySplit="9" topLeftCell="AH168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A6" sqref="A6"/>
    </sheetView>
  </sheetViews>
  <sheetFormatPr defaultColWidth="8.421875" defaultRowHeight="12.75"/>
  <cols>
    <col min="1" max="1" width="17.8515625" style="114" customWidth="1"/>
    <col min="2" max="2" width="1.7109375" style="114" customWidth="1"/>
    <col min="3" max="3" width="12.7109375" style="114" customWidth="1"/>
    <col min="4" max="4" width="1.7109375" style="114" customWidth="1"/>
    <col min="5" max="5" width="12.7109375" style="114" customWidth="1"/>
    <col min="6" max="6" width="1.7109375" style="114" customWidth="1"/>
    <col min="7" max="7" width="12.7109375" style="114" customWidth="1"/>
    <col min="8" max="8" width="1.7109375" style="114" customWidth="1"/>
    <col min="9" max="9" width="12.7109375" style="114" customWidth="1"/>
    <col min="10" max="10" width="1.7109375" style="114" customWidth="1"/>
    <col min="11" max="11" width="12.7109375" style="114" customWidth="1"/>
    <col min="12" max="12" width="1.7109375" style="114" customWidth="1"/>
    <col min="13" max="13" width="11.7109375" style="114" customWidth="1"/>
    <col min="14" max="14" width="1.7109375" style="114" customWidth="1"/>
    <col min="15" max="15" width="11.7109375" style="114" customWidth="1"/>
    <col min="16" max="16" width="1.7109375" style="114" customWidth="1"/>
    <col min="17" max="17" width="11.7109375" style="114" customWidth="1"/>
    <col min="18" max="18" width="1.7109375" style="114" customWidth="1"/>
    <col min="19" max="19" width="11.7109375" style="114" customWidth="1"/>
    <col min="20" max="20" width="1.7109375" style="114" customWidth="1"/>
    <col min="21" max="21" width="11.7109375" style="114" customWidth="1"/>
    <col min="22" max="22" width="1.7109375" style="114" customWidth="1"/>
    <col min="23" max="23" width="11.7109375" style="114" hidden="1" customWidth="1"/>
    <col min="24" max="24" width="1.7109375" style="114" hidden="1" customWidth="1"/>
    <col min="25" max="25" width="17.8515625" style="114" customWidth="1"/>
    <col min="26" max="26" width="1.7109375" style="114" customWidth="1"/>
    <col min="27" max="27" width="12.8515625" style="114" customWidth="1"/>
    <col min="28" max="28" width="1.7109375" style="114" customWidth="1"/>
    <col min="29" max="29" width="12.57421875" style="114" customWidth="1"/>
    <col min="30" max="30" width="1.7109375" style="114" customWidth="1"/>
    <col min="31" max="31" width="12.8515625" style="114" customWidth="1"/>
    <col min="32" max="32" width="1.7109375" style="114" customWidth="1"/>
    <col min="33" max="33" width="12.7109375" style="114" customWidth="1"/>
    <col min="34" max="34" width="1.7109375" style="117" customWidth="1"/>
    <col min="35" max="35" width="12.8515625" style="117" customWidth="1"/>
    <col min="36" max="36" width="1.7109375" style="117" customWidth="1"/>
    <col min="37" max="37" width="10.7109375" style="117" customWidth="1"/>
    <col min="38" max="38" width="1.7109375" style="117" customWidth="1"/>
    <col min="39" max="39" width="10.7109375" style="117" customWidth="1"/>
    <col min="40" max="40" width="1.7109375" style="117" customWidth="1"/>
    <col min="41" max="41" width="10.7109375" style="82" customWidth="1"/>
    <col min="42" max="42" width="1.7109375" style="82" customWidth="1"/>
    <col min="43" max="43" width="11.7109375" style="114" customWidth="1"/>
    <col min="44" max="44" width="1.7109375" style="82" hidden="1" customWidth="1"/>
    <col min="45" max="45" width="10.7109375" style="82" hidden="1" customWidth="1"/>
    <col min="46" max="46" width="1.7109375" style="82" hidden="1" customWidth="1"/>
    <col min="47" max="47" width="10.7109375" style="82" hidden="1" customWidth="1"/>
    <col min="48" max="48" width="1.7109375" style="82" customWidth="1"/>
    <col min="49" max="49" width="11.7109375" style="114" customWidth="1"/>
    <col min="50" max="50" width="1.7109375" style="82" customWidth="1"/>
    <col min="51" max="51" width="18.00390625" style="114" customWidth="1"/>
    <col min="52" max="52" width="1.7109375" style="82" customWidth="1"/>
    <col min="53" max="53" width="12.8515625" style="82" customWidth="1"/>
    <col min="54" max="54" width="1.7109375" style="82" customWidth="1"/>
    <col min="55" max="55" width="12.8515625" style="82" customWidth="1"/>
    <col min="56" max="56" width="1.7109375" style="82" customWidth="1"/>
    <col min="57" max="57" width="12.8515625" style="82" customWidth="1"/>
    <col min="58" max="58" width="1.7109375" style="82" customWidth="1"/>
    <col min="59" max="59" width="12.8515625" style="82" customWidth="1"/>
    <col min="60" max="60" width="1.7109375" style="82" customWidth="1"/>
    <col min="61" max="61" width="10.7109375" style="82" hidden="1" customWidth="1"/>
    <col min="62" max="62" width="1.7109375" style="82" hidden="1" customWidth="1"/>
    <col min="63" max="63" width="12.7109375" style="114" customWidth="1"/>
    <col min="64" max="64" width="9.28125" style="82" bestFit="1" customWidth="1"/>
    <col min="65" max="65" width="9.421875" style="82" bestFit="1" customWidth="1"/>
    <col min="66" max="16384" width="8.421875" style="82" customWidth="1"/>
  </cols>
  <sheetData>
    <row r="1" spans="1:65" s="110" customFormat="1" ht="12.75">
      <c r="A1" s="107" t="s">
        <v>196</v>
      </c>
      <c r="B1" s="10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5" t="s">
        <v>196</v>
      </c>
      <c r="Z1" s="106"/>
      <c r="AA1" s="106"/>
      <c r="AB1" s="106"/>
      <c r="AC1" s="85"/>
      <c r="AD1" s="85"/>
      <c r="AE1" s="85"/>
      <c r="AF1" s="85"/>
      <c r="AG1" s="106"/>
      <c r="AH1" s="85"/>
      <c r="AI1" s="85"/>
      <c r="AJ1" s="85"/>
      <c r="AK1" s="85"/>
      <c r="AL1" s="85"/>
      <c r="AM1" s="85"/>
      <c r="AN1" s="85"/>
      <c r="AO1" s="109"/>
      <c r="AP1" s="109"/>
      <c r="AQ1" s="106"/>
      <c r="AR1" s="109"/>
      <c r="AS1" s="109"/>
      <c r="AT1" s="109"/>
      <c r="AU1" s="109"/>
      <c r="AV1" s="109"/>
      <c r="AW1" s="106"/>
      <c r="AX1" s="109"/>
      <c r="AY1" s="107" t="s">
        <v>196</v>
      </c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6"/>
      <c r="BL1" s="109"/>
      <c r="BM1" s="109"/>
    </row>
    <row r="2" spans="1:65" s="110" customFormat="1" ht="12.75">
      <c r="A2" s="63" t="s">
        <v>137</v>
      </c>
      <c r="B2" s="10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63" t="s">
        <v>250</v>
      </c>
      <c r="Z2" s="106"/>
      <c r="AA2" s="106"/>
      <c r="AB2" s="106"/>
      <c r="AC2" s="85"/>
      <c r="AD2" s="85"/>
      <c r="AE2" s="85"/>
      <c r="AF2" s="85"/>
      <c r="AG2" s="106"/>
      <c r="AH2" s="85"/>
      <c r="AI2" s="85"/>
      <c r="AJ2" s="85"/>
      <c r="AK2" s="85"/>
      <c r="AL2" s="85"/>
      <c r="AM2" s="85"/>
      <c r="AN2" s="85"/>
      <c r="AO2" s="109"/>
      <c r="AP2" s="109"/>
      <c r="AQ2" s="106"/>
      <c r="AR2" s="109"/>
      <c r="AS2" s="109"/>
      <c r="AT2" s="109"/>
      <c r="AU2" s="109"/>
      <c r="AV2" s="109"/>
      <c r="AW2" s="106"/>
      <c r="AX2" s="109"/>
      <c r="AY2" s="107" t="s">
        <v>102</v>
      </c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6"/>
      <c r="BL2" s="109"/>
      <c r="BM2" s="109"/>
    </row>
    <row r="3" spans="1:64" s="110" customFormat="1" ht="12.75">
      <c r="A3" s="63" t="s">
        <v>254</v>
      </c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57" t="s">
        <v>254</v>
      </c>
      <c r="Z3" s="106"/>
      <c r="AA3" s="106"/>
      <c r="AB3" s="106"/>
      <c r="AC3" s="85"/>
      <c r="AD3" s="85"/>
      <c r="AE3" s="85"/>
      <c r="AF3" s="85"/>
      <c r="AG3" s="106"/>
      <c r="AH3" s="85"/>
      <c r="AI3" s="85"/>
      <c r="AJ3" s="85"/>
      <c r="AK3" s="85"/>
      <c r="AL3" s="85"/>
      <c r="AM3" s="85"/>
      <c r="AN3" s="85"/>
      <c r="AO3" s="109"/>
      <c r="AP3" s="109"/>
      <c r="AQ3" s="106"/>
      <c r="AR3" s="109"/>
      <c r="AS3" s="109"/>
      <c r="AT3" s="109"/>
      <c r="AU3" s="109"/>
      <c r="AV3" s="109"/>
      <c r="AW3" s="106"/>
      <c r="AX3" s="109"/>
      <c r="AY3" s="63" t="s">
        <v>254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6"/>
      <c r="BL3" s="109"/>
    </row>
    <row r="4" spans="1:64" ht="12.75">
      <c r="A4" s="90"/>
      <c r="B4" s="90"/>
      <c r="C4" s="111"/>
      <c r="D4" s="111"/>
      <c r="E4" s="111"/>
      <c r="F4" s="111"/>
      <c r="G4" s="111"/>
      <c r="H4" s="111"/>
      <c r="I4" s="111"/>
      <c r="J4" s="99"/>
      <c r="K4" s="111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12"/>
      <c r="Z4" s="99"/>
      <c r="AA4" s="99"/>
      <c r="AB4" s="99"/>
      <c r="AC4" s="85"/>
      <c r="AD4" s="85"/>
      <c r="AE4" s="85"/>
      <c r="AF4" s="85"/>
      <c r="AG4" s="111"/>
      <c r="AH4" s="85"/>
      <c r="AI4" s="85"/>
      <c r="AJ4" s="85"/>
      <c r="AK4" s="85"/>
      <c r="AL4" s="85"/>
      <c r="AM4" s="85"/>
      <c r="AN4" s="85"/>
      <c r="AO4" s="79"/>
      <c r="AP4" s="79"/>
      <c r="AQ4" s="111"/>
      <c r="AR4" s="79"/>
      <c r="AS4" s="79"/>
      <c r="AT4" s="79"/>
      <c r="AU4" s="79"/>
      <c r="AV4" s="79"/>
      <c r="AW4" s="111"/>
      <c r="AX4" s="79"/>
      <c r="AY4" s="90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111"/>
      <c r="BL4" s="79"/>
    </row>
    <row r="5" spans="1:64" ht="12.75">
      <c r="A5" s="57" t="s">
        <v>184</v>
      </c>
      <c r="B5" s="11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57" t="s">
        <v>184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57" t="s">
        <v>184</v>
      </c>
      <c r="AZ5" s="21"/>
      <c r="BJ5" s="51"/>
      <c r="BK5" s="21"/>
      <c r="BL5" s="79"/>
    </row>
    <row r="6" spans="1:64" ht="12.75">
      <c r="A6" s="57"/>
      <c r="B6" s="11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138</v>
      </c>
      <c r="P6" s="50"/>
      <c r="Q6" s="50"/>
      <c r="R6" s="50"/>
      <c r="S6" s="50"/>
      <c r="T6" s="50"/>
      <c r="U6" s="50"/>
      <c r="V6" s="21"/>
      <c r="W6" s="21"/>
      <c r="X6" s="21"/>
      <c r="Y6" s="57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57"/>
      <c r="AZ6" s="21"/>
      <c r="BA6" s="50" t="s">
        <v>102</v>
      </c>
      <c r="BB6" s="50"/>
      <c r="BC6" s="50"/>
      <c r="BD6" s="50"/>
      <c r="BE6" s="50"/>
      <c r="BF6" s="50"/>
      <c r="BG6" s="50"/>
      <c r="BH6" s="51"/>
      <c r="BI6" s="51"/>
      <c r="BJ6" s="51"/>
      <c r="BK6" s="21"/>
      <c r="BL6" s="79"/>
    </row>
    <row r="7" spans="1:64" ht="12.75">
      <c r="A7" s="113"/>
      <c r="B7" s="1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108" t="s">
        <v>194</v>
      </c>
      <c r="W7" s="51"/>
      <c r="X7" s="51"/>
      <c r="Y7" s="113"/>
      <c r="Z7" s="51"/>
      <c r="AA7" s="21"/>
      <c r="AB7" s="21"/>
      <c r="AC7" s="21"/>
      <c r="AD7" s="21"/>
      <c r="AE7" s="21"/>
      <c r="AF7" s="21"/>
      <c r="AG7" s="21"/>
      <c r="AH7" s="21"/>
      <c r="AI7" s="21" t="s">
        <v>158</v>
      </c>
      <c r="AJ7" s="21"/>
      <c r="AK7" s="21"/>
      <c r="AL7" s="21"/>
      <c r="AM7" s="21"/>
      <c r="AN7" s="21"/>
      <c r="AO7" s="21"/>
      <c r="AP7" s="21"/>
      <c r="AQ7" s="21"/>
      <c r="AR7" s="21"/>
      <c r="AS7" s="21" t="s">
        <v>155</v>
      </c>
      <c r="AT7" s="21"/>
      <c r="AU7" s="21" t="s">
        <v>155</v>
      </c>
      <c r="AV7" s="21"/>
      <c r="AW7" s="21"/>
      <c r="AX7" s="21"/>
      <c r="AY7" s="113"/>
      <c r="AZ7" s="21"/>
      <c r="BA7" s="21" t="s">
        <v>103</v>
      </c>
      <c r="BB7" s="21"/>
      <c r="BC7" s="21" t="s">
        <v>104</v>
      </c>
      <c r="BD7" s="21"/>
      <c r="BE7" s="21"/>
      <c r="BF7" s="21"/>
      <c r="BG7" s="21" t="s">
        <v>105</v>
      </c>
      <c r="BH7" s="21"/>
      <c r="BI7" s="21" t="s">
        <v>191</v>
      </c>
      <c r="BJ7" s="21"/>
      <c r="BK7" s="21" t="s">
        <v>4</v>
      </c>
      <c r="BL7" s="79"/>
    </row>
    <row r="8" spans="1:64" ht="12.75">
      <c r="A8" s="113"/>
      <c r="B8" s="113"/>
      <c r="C8" s="21" t="s">
        <v>135</v>
      </c>
      <c r="D8" s="21"/>
      <c r="E8" s="21" t="s">
        <v>156</v>
      </c>
      <c r="F8" s="21"/>
      <c r="G8" s="21" t="s">
        <v>4</v>
      </c>
      <c r="H8" s="21"/>
      <c r="I8" s="21" t="s">
        <v>135</v>
      </c>
      <c r="J8" s="21"/>
      <c r="K8" s="21" t="s">
        <v>156</v>
      </c>
      <c r="L8" s="21"/>
      <c r="M8" s="21" t="s">
        <v>4</v>
      </c>
      <c r="N8" s="21"/>
      <c r="O8" s="21" t="s">
        <v>139</v>
      </c>
      <c r="P8" s="21"/>
      <c r="Q8" s="21"/>
      <c r="R8" s="21"/>
      <c r="S8" s="21"/>
      <c r="T8" s="21"/>
      <c r="U8" s="21" t="s">
        <v>232</v>
      </c>
      <c r="V8" s="21"/>
      <c r="W8" s="21"/>
      <c r="X8" s="21"/>
      <c r="Y8" s="113"/>
      <c r="Z8" s="21"/>
      <c r="AA8" s="21" t="s">
        <v>101</v>
      </c>
      <c r="AB8" s="21"/>
      <c r="AC8" s="21" t="s">
        <v>157</v>
      </c>
      <c r="AD8" s="21"/>
      <c r="AE8" s="21"/>
      <c r="AF8" s="21"/>
      <c r="AG8" s="21" t="s">
        <v>101</v>
      </c>
      <c r="AH8" s="21"/>
      <c r="AI8" s="21" t="s">
        <v>12</v>
      </c>
      <c r="AJ8" s="21"/>
      <c r="AK8" s="21"/>
      <c r="AL8" s="21"/>
      <c r="AM8" s="21"/>
      <c r="AN8" s="21"/>
      <c r="AO8" s="21" t="s">
        <v>87</v>
      </c>
      <c r="AP8" s="21"/>
      <c r="AQ8" s="21" t="s">
        <v>231</v>
      </c>
      <c r="AR8" s="21"/>
      <c r="AS8" s="21" t="s">
        <v>159</v>
      </c>
      <c r="AT8" s="21"/>
      <c r="AU8" s="21" t="s">
        <v>159</v>
      </c>
      <c r="AV8" s="21"/>
      <c r="AW8" s="21" t="s">
        <v>106</v>
      </c>
      <c r="AX8" s="21"/>
      <c r="AY8" s="113"/>
      <c r="AZ8" s="21"/>
      <c r="BA8" s="21" t="s">
        <v>107</v>
      </c>
      <c r="BB8" s="21"/>
      <c r="BC8" s="21" t="s">
        <v>12</v>
      </c>
      <c r="BD8" s="21"/>
      <c r="BE8" s="21"/>
      <c r="BF8" s="21"/>
      <c r="BG8" s="21" t="s">
        <v>108</v>
      </c>
      <c r="BH8" s="21"/>
      <c r="BI8" s="21" t="s">
        <v>192</v>
      </c>
      <c r="BJ8" s="21"/>
      <c r="BK8" s="21" t="s">
        <v>108</v>
      </c>
      <c r="BL8" s="79"/>
    </row>
    <row r="9" spans="1:64" ht="12.75">
      <c r="A9" s="115" t="s">
        <v>5</v>
      </c>
      <c r="B9" s="79"/>
      <c r="C9" s="20" t="s">
        <v>116</v>
      </c>
      <c r="D9" s="79"/>
      <c r="E9" s="20" t="s">
        <v>116</v>
      </c>
      <c r="F9" s="79"/>
      <c r="G9" s="20" t="s">
        <v>116</v>
      </c>
      <c r="H9" s="79"/>
      <c r="I9" s="20" t="s">
        <v>122</v>
      </c>
      <c r="J9" s="79"/>
      <c r="K9" s="20" t="s">
        <v>122</v>
      </c>
      <c r="L9" s="79"/>
      <c r="M9" s="20" t="s">
        <v>122</v>
      </c>
      <c r="N9" s="79"/>
      <c r="O9" s="20" t="s">
        <v>141</v>
      </c>
      <c r="P9" s="79"/>
      <c r="Q9" s="20" t="s">
        <v>142</v>
      </c>
      <c r="R9" s="79"/>
      <c r="S9" s="20" t="s">
        <v>143</v>
      </c>
      <c r="T9" s="79"/>
      <c r="U9" s="20" t="s">
        <v>116</v>
      </c>
      <c r="V9" s="79"/>
      <c r="W9" s="20"/>
      <c r="X9" s="20"/>
      <c r="Y9" s="115" t="s">
        <v>5</v>
      </c>
      <c r="Z9" s="79"/>
      <c r="AA9" s="20" t="s">
        <v>12</v>
      </c>
      <c r="AB9" s="79"/>
      <c r="AC9" s="20" t="s">
        <v>109</v>
      </c>
      <c r="AD9" s="79"/>
      <c r="AE9" s="20" t="s">
        <v>109</v>
      </c>
      <c r="AF9" s="79"/>
      <c r="AG9" s="20" t="s">
        <v>110</v>
      </c>
      <c r="AH9" s="79"/>
      <c r="AI9" s="20" t="s">
        <v>230</v>
      </c>
      <c r="AJ9" s="79"/>
      <c r="AK9" s="20" t="s">
        <v>111</v>
      </c>
      <c r="AL9" s="79"/>
      <c r="AM9" s="20" t="s">
        <v>112</v>
      </c>
      <c r="AN9" s="79"/>
      <c r="AO9" s="20" t="s">
        <v>161</v>
      </c>
      <c r="AP9" s="79"/>
      <c r="AQ9" s="20" t="s">
        <v>138</v>
      </c>
      <c r="AR9" s="79"/>
      <c r="AS9" s="20" t="s">
        <v>162</v>
      </c>
      <c r="AT9" s="79"/>
      <c r="AU9" s="20" t="s">
        <v>163</v>
      </c>
      <c r="AV9" s="79"/>
      <c r="AW9" s="20" t="s">
        <v>87</v>
      </c>
      <c r="AX9" s="79"/>
      <c r="AY9" s="115" t="s">
        <v>5</v>
      </c>
      <c r="AZ9" s="79"/>
      <c r="BA9" s="20" t="s">
        <v>113</v>
      </c>
      <c r="BB9" s="79"/>
      <c r="BC9" s="20" t="s">
        <v>113</v>
      </c>
      <c r="BD9" s="79"/>
      <c r="BE9" s="20" t="s">
        <v>114</v>
      </c>
      <c r="BF9" s="79"/>
      <c r="BG9" s="20" t="s">
        <v>115</v>
      </c>
      <c r="BH9" s="79"/>
      <c r="BI9" s="20" t="s">
        <v>193</v>
      </c>
      <c r="BJ9" s="20"/>
      <c r="BK9" s="20" t="s">
        <v>122</v>
      </c>
      <c r="BL9" s="79"/>
    </row>
    <row r="10" spans="1:64" ht="12.75">
      <c r="A10" s="113"/>
      <c r="B10" s="79"/>
      <c r="C10" s="21"/>
      <c r="D10" s="79"/>
      <c r="E10" s="21"/>
      <c r="F10" s="79"/>
      <c r="G10" s="21"/>
      <c r="H10" s="79"/>
      <c r="I10" s="21"/>
      <c r="J10" s="79"/>
      <c r="K10" s="21"/>
      <c r="L10" s="79"/>
      <c r="M10" s="21"/>
      <c r="N10" s="79"/>
      <c r="O10" s="21"/>
      <c r="P10" s="79"/>
      <c r="Q10" s="21"/>
      <c r="R10" s="79"/>
      <c r="S10" s="21"/>
      <c r="T10" s="79"/>
      <c r="U10" s="21"/>
      <c r="V10" s="79"/>
      <c r="W10" s="21"/>
      <c r="X10" s="21"/>
      <c r="Y10" s="113"/>
      <c r="Z10" s="79"/>
      <c r="AA10" s="21"/>
      <c r="AB10" s="79"/>
      <c r="AC10" s="21"/>
      <c r="AD10" s="79"/>
      <c r="AE10" s="21"/>
      <c r="AF10" s="79"/>
      <c r="AG10" s="21"/>
      <c r="AH10" s="79"/>
      <c r="AI10" s="21"/>
      <c r="AJ10" s="79"/>
      <c r="AK10" s="21"/>
      <c r="AL10" s="79"/>
      <c r="AM10" s="21"/>
      <c r="AN10" s="79"/>
      <c r="AO10" s="21"/>
      <c r="AP10" s="79"/>
      <c r="AQ10" s="21"/>
      <c r="AR10" s="79"/>
      <c r="AS10" s="21"/>
      <c r="AT10" s="79"/>
      <c r="AU10" s="21"/>
      <c r="AV10" s="79"/>
      <c r="AW10" s="21"/>
      <c r="AX10" s="79"/>
      <c r="AY10" s="113"/>
      <c r="AZ10" s="79"/>
      <c r="BA10" s="21"/>
      <c r="BB10" s="79"/>
      <c r="BC10" s="21"/>
      <c r="BD10" s="79"/>
      <c r="BE10" s="21"/>
      <c r="BF10" s="79"/>
      <c r="BG10" s="21"/>
      <c r="BH10" s="79"/>
      <c r="BI10" s="21"/>
      <c r="BJ10" s="21"/>
      <c r="BK10" s="21"/>
      <c r="BL10" s="79"/>
    </row>
    <row r="11" spans="1:73" ht="12.75" hidden="1">
      <c r="A11" s="90" t="s">
        <v>237</v>
      </c>
      <c r="B11" s="79"/>
      <c r="C11" s="74">
        <f>+G11-E11</f>
        <v>0</v>
      </c>
      <c r="D11" s="74"/>
      <c r="E11" s="74">
        <v>0</v>
      </c>
      <c r="F11" s="74"/>
      <c r="G11" s="74">
        <v>0</v>
      </c>
      <c r="H11" s="74"/>
      <c r="I11" s="74">
        <f>M11-K11</f>
        <v>0</v>
      </c>
      <c r="J11" s="74"/>
      <c r="K11" s="74">
        <f>SUM(BK11)</f>
        <v>0</v>
      </c>
      <c r="L11" s="74"/>
      <c r="M11" s="74">
        <v>0</v>
      </c>
      <c r="N11" s="74"/>
      <c r="O11" s="74">
        <v>0</v>
      </c>
      <c r="P11" s="74"/>
      <c r="Q11" s="74">
        <v>0</v>
      </c>
      <c r="R11" s="74"/>
      <c r="S11" s="74">
        <v>0</v>
      </c>
      <c r="T11" s="74"/>
      <c r="U11" s="74">
        <f>SUM(O11:S11)</f>
        <v>0</v>
      </c>
      <c r="V11" s="35"/>
      <c r="W11" s="35"/>
      <c r="X11" s="35"/>
      <c r="Y11" s="77" t="s">
        <v>237</v>
      </c>
      <c r="Z11" s="35"/>
      <c r="AA11" s="74">
        <v>0</v>
      </c>
      <c r="AB11" s="17"/>
      <c r="AC11" s="74">
        <v>0</v>
      </c>
      <c r="AD11" s="17"/>
      <c r="AE11" s="74">
        <v>0</v>
      </c>
      <c r="AF11" s="17"/>
      <c r="AG11" s="74">
        <f>+AA11-AC11-AE11</f>
        <v>0</v>
      </c>
      <c r="AH11" s="40"/>
      <c r="AI11" s="74">
        <v>0</v>
      </c>
      <c r="AJ11" s="40"/>
      <c r="AK11" s="74">
        <v>0</v>
      </c>
      <c r="AL11" s="17"/>
      <c r="AM11" s="74">
        <v>0</v>
      </c>
      <c r="AN11" s="17"/>
      <c r="AO11" s="74">
        <v>0</v>
      </c>
      <c r="AP11" s="17"/>
      <c r="AQ11" s="74">
        <f>+AO11+AK11-AM11+AI11+AG11</f>
        <v>0</v>
      </c>
      <c r="AR11" s="40"/>
      <c r="AS11" s="17"/>
      <c r="AT11" s="17"/>
      <c r="AU11" s="17"/>
      <c r="AV11" s="17"/>
      <c r="AW11" s="74">
        <f>+C11-I11</f>
        <v>0</v>
      </c>
      <c r="AX11" s="35"/>
      <c r="AY11" s="77" t="s">
        <v>237</v>
      </c>
      <c r="AZ11" s="35"/>
      <c r="BA11" s="74">
        <v>0</v>
      </c>
      <c r="BB11" s="17"/>
      <c r="BC11" s="74">
        <v>0</v>
      </c>
      <c r="BD11" s="17"/>
      <c r="BE11" s="74">
        <v>0</v>
      </c>
      <c r="BF11" s="17"/>
      <c r="BG11" s="74">
        <v>0</v>
      </c>
      <c r="BH11" s="17"/>
      <c r="BI11" s="17"/>
      <c r="BJ11" s="17"/>
      <c r="BK11" s="74">
        <f>SUM(BA11:BI11)</f>
        <v>0</v>
      </c>
      <c r="BL11" s="74"/>
      <c r="BM11" s="74"/>
      <c r="BN11" s="74"/>
      <c r="BO11" s="74"/>
      <c r="BP11" s="74"/>
      <c r="BQ11" s="74"/>
      <c r="BR11" s="74"/>
      <c r="BS11" s="74"/>
      <c r="BT11" s="74"/>
      <c r="BU11" s="74"/>
    </row>
    <row r="12" spans="1:64" ht="12.75">
      <c r="A12" s="77" t="s">
        <v>13</v>
      </c>
      <c r="B12" s="77"/>
      <c r="C12" s="74">
        <f>+G12-E12</f>
        <v>5467867</v>
      </c>
      <c r="D12" s="74"/>
      <c r="E12" s="74">
        <v>39510454</v>
      </c>
      <c r="F12" s="74"/>
      <c r="G12" s="74">
        <v>44978321</v>
      </c>
      <c r="H12" s="74"/>
      <c r="I12" s="74">
        <f>M12-K12</f>
        <v>3465484</v>
      </c>
      <c r="J12" s="74"/>
      <c r="K12" s="74">
        <v>12786436</v>
      </c>
      <c r="L12" s="74"/>
      <c r="M12" s="74">
        <v>16251920</v>
      </c>
      <c r="N12" s="74"/>
      <c r="O12" s="74">
        <v>23157674</v>
      </c>
      <c r="P12" s="74"/>
      <c r="Q12" s="74">
        <v>1686682</v>
      </c>
      <c r="R12" s="74"/>
      <c r="S12" s="74">
        <v>3882045</v>
      </c>
      <c r="T12" s="74"/>
      <c r="U12" s="74">
        <f>SUM(O12:S12)</f>
        <v>28726401</v>
      </c>
      <c r="V12" s="35"/>
      <c r="W12" s="35">
        <f>+G12-M12-U12</f>
        <v>0</v>
      </c>
      <c r="X12" s="35"/>
      <c r="Y12" s="77" t="s">
        <v>13</v>
      </c>
      <c r="Z12" s="35"/>
      <c r="AA12" s="74">
        <v>5866187</v>
      </c>
      <c r="AB12" s="17"/>
      <c r="AC12" s="74">
        <f>5662165-1593944</f>
        <v>4068221</v>
      </c>
      <c r="AD12" s="17"/>
      <c r="AE12" s="74">
        <v>1593944</v>
      </c>
      <c r="AF12" s="17"/>
      <c r="AG12" s="74">
        <f>+AA12-AC12-AE12</f>
        <v>204022</v>
      </c>
      <c r="AH12" s="40"/>
      <c r="AI12" s="74">
        <v>-388425</v>
      </c>
      <c r="AJ12" s="40"/>
      <c r="AK12" s="74">
        <v>0</v>
      </c>
      <c r="AL12" s="17"/>
      <c r="AM12" s="74">
        <v>164164</v>
      </c>
      <c r="AN12" s="17"/>
      <c r="AO12" s="74">
        <v>1016658</v>
      </c>
      <c r="AP12" s="17"/>
      <c r="AQ12" s="74">
        <f>+AO12+AK12-AM12+AI12+AG12</f>
        <v>668091</v>
      </c>
      <c r="AR12" s="40"/>
      <c r="AS12" s="17">
        <v>0</v>
      </c>
      <c r="AT12" s="17"/>
      <c r="AU12" s="17">
        <v>0</v>
      </c>
      <c r="AV12" s="17"/>
      <c r="AW12" s="74">
        <f>+C12-I12</f>
        <v>2002383</v>
      </c>
      <c r="AX12" s="35"/>
      <c r="AY12" s="77" t="s">
        <v>13</v>
      </c>
      <c r="AZ12" s="35"/>
      <c r="BA12" s="74">
        <v>0</v>
      </c>
      <c r="BB12" s="17"/>
      <c r="BC12" s="74">
        <v>3635791</v>
      </c>
      <c r="BD12" s="17"/>
      <c r="BE12" s="74">
        <f>107603+8984006</f>
        <v>9091609</v>
      </c>
      <c r="BF12" s="17"/>
      <c r="BG12" s="74">
        <v>59036</v>
      </c>
      <c r="BH12" s="17"/>
      <c r="BI12" s="17"/>
      <c r="BJ12" s="17"/>
      <c r="BK12" s="74">
        <f>SUM(BA12:BI12)</f>
        <v>12786436</v>
      </c>
      <c r="BL12" s="79"/>
    </row>
    <row r="13" spans="1:64" ht="12.75">
      <c r="A13" s="77" t="s">
        <v>14</v>
      </c>
      <c r="B13" s="77"/>
      <c r="C13" s="35">
        <f aca="true" t="shared" si="0" ref="C13:C28">+G13-E13</f>
        <v>3069900</v>
      </c>
      <c r="D13" s="35"/>
      <c r="E13" s="35">
        <v>7717912</v>
      </c>
      <c r="F13" s="35"/>
      <c r="G13" s="35">
        <v>10787812</v>
      </c>
      <c r="H13" s="35"/>
      <c r="I13" s="35">
        <f aca="true" t="shared" si="1" ref="I13:I28">M13-K13</f>
        <v>818699</v>
      </c>
      <c r="J13" s="35"/>
      <c r="K13" s="35">
        <v>2860857</v>
      </c>
      <c r="L13" s="35"/>
      <c r="M13" s="35">
        <v>3679556</v>
      </c>
      <c r="N13" s="35"/>
      <c r="O13" s="35">
        <v>4906397</v>
      </c>
      <c r="P13" s="35"/>
      <c r="Q13" s="35">
        <v>0</v>
      </c>
      <c r="R13" s="35"/>
      <c r="S13" s="35">
        <v>2201859</v>
      </c>
      <c r="T13" s="35"/>
      <c r="U13" s="35">
        <f aca="true" t="shared" si="2" ref="U13:U28">SUM(O13:S13)</f>
        <v>7108256</v>
      </c>
      <c r="V13" s="35"/>
      <c r="W13" s="35">
        <f>+G13-M13-U13</f>
        <v>0</v>
      </c>
      <c r="X13" s="35"/>
      <c r="Y13" s="77" t="s">
        <v>14</v>
      </c>
      <c r="Z13" s="35"/>
      <c r="AA13" s="35">
        <v>2210638</v>
      </c>
      <c r="AB13" s="17"/>
      <c r="AC13" s="35">
        <f>4157218-343539</f>
        <v>3813679</v>
      </c>
      <c r="AD13" s="17"/>
      <c r="AE13" s="35">
        <v>343539</v>
      </c>
      <c r="AF13" s="17"/>
      <c r="AG13" s="35">
        <f aca="true" t="shared" si="3" ref="AG13:AG28">+AA13-AC13-AE13</f>
        <v>-1946580</v>
      </c>
      <c r="AH13" s="40"/>
      <c r="AI13" s="35">
        <v>1704856</v>
      </c>
      <c r="AJ13" s="40"/>
      <c r="AK13" s="35">
        <v>310322</v>
      </c>
      <c r="AL13" s="17"/>
      <c r="AM13" s="35">
        <v>56000</v>
      </c>
      <c r="AN13" s="17"/>
      <c r="AO13" s="35">
        <v>0</v>
      </c>
      <c r="AP13" s="17"/>
      <c r="AQ13" s="35">
        <f aca="true" t="shared" si="4" ref="AQ13:AQ28">+AO13+AK13-AM13+AI13+AG13</f>
        <v>12598</v>
      </c>
      <c r="AR13" s="40"/>
      <c r="AS13" s="17">
        <v>0</v>
      </c>
      <c r="AT13" s="17"/>
      <c r="AU13" s="17">
        <v>0</v>
      </c>
      <c r="AV13" s="17"/>
      <c r="AW13" s="35">
        <f aca="true" t="shared" si="5" ref="AW13:AW28">+C13-I13</f>
        <v>2251201</v>
      </c>
      <c r="AX13" s="35"/>
      <c r="AY13" s="77" t="s">
        <v>14</v>
      </c>
      <c r="AZ13" s="35"/>
      <c r="BA13" s="35">
        <v>0</v>
      </c>
      <c r="BB13" s="17"/>
      <c r="BC13" s="35">
        <v>334900</v>
      </c>
      <c r="BD13" s="17"/>
      <c r="BE13" s="35">
        <f>2130418+185318</f>
        <v>2315736</v>
      </c>
      <c r="BF13" s="17"/>
      <c r="BG13" s="35">
        <v>30221</v>
      </c>
      <c r="BH13" s="17"/>
      <c r="BI13" s="17"/>
      <c r="BJ13" s="17"/>
      <c r="BK13" s="35">
        <f>SUM(BA13:BI13)</f>
        <v>2680857</v>
      </c>
      <c r="BL13" s="79"/>
    </row>
    <row r="14" spans="1:64" ht="12.75" hidden="1">
      <c r="A14" s="77" t="s">
        <v>15</v>
      </c>
      <c r="B14" s="77"/>
      <c r="C14" s="35">
        <f>+G14-E14</f>
        <v>0</v>
      </c>
      <c r="D14" s="35"/>
      <c r="E14" s="35">
        <v>0</v>
      </c>
      <c r="F14" s="35"/>
      <c r="G14" s="35">
        <v>0</v>
      </c>
      <c r="H14" s="35"/>
      <c r="I14" s="35">
        <f>M14-K14</f>
        <v>0</v>
      </c>
      <c r="J14" s="35"/>
      <c r="K14" s="35">
        <v>0</v>
      </c>
      <c r="L14" s="35"/>
      <c r="M14" s="35">
        <v>0</v>
      </c>
      <c r="N14" s="35"/>
      <c r="O14" s="35">
        <v>0</v>
      </c>
      <c r="P14" s="35"/>
      <c r="Q14" s="35">
        <v>0</v>
      </c>
      <c r="R14" s="35"/>
      <c r="S14" s="35">
        <v>0</v>
      </c>
      <c r="T14" s="35"/>
      <c r="U14" s="35">
        <f t="shared" si="2"/>
        <v>0</v>
      </c>
      <c r="V14" s="74"/>
      <c r="W14" s="74">
        <f>+G14-M14-U14</f>
        <v>0</v>
      </c>
      <c r="X14" s="74"/>
      <c r="Y14" s="80" t="s">
        <v>15</v>
      </c>
      <c r="Z14" s="74"/>
      <c r="AA14" s="35"/>
      <c r="AB14" s="17"/>
      <c r="AC14" s="35"/>
      <c r="AD14" s="17"/>
      <c r="AE14" s="35"/>
      <c r="AF14" s="17"/>
      <c r="AG14" s="35">
        <f t="shared" si="3"/>
        <v>0</v>
      </c>
      <c r="AH14" s="40"/>
      <c r="AI14" s="35">
        <v>0</v>
      </c>
      <c r="AJ14" s="40"/>
      <c r="AK14" s="35">
        <v>0</v>
      </c>
      <c r="AL14" s="17"/>
      <c r="AM14" s="35">
        <v>0</v>
      </c>
      <c r="AN14" s="17"/>
      <c r="AO14" s="35">
        <v>0</v>
      </c>
      <c r="AP14" s="17"/>
      <c r="AQ14" s="35">
        <f t="shared" si="4"/>
        <v>0</v>
      </c>
      <c r="AR14" s="40"/>
      <c r="AS14" s="17">
        <v>0</v>
      </c>
      <c r="AT14" s="17"/>
      <c r="AU14" s="17">
        <v>0</v>
      </c>
      <c r="AV14" s="17"/>
      <c r="AW14" s="35">
        <f t="shared" si="5"/>
        <v>0</v>
      </c>
      <c r="AX14" s="48"/>
      <c r="AY14" s="80" t="s">
        <v>15</v>
      </c>
      <c r="AZ14" s="48"/>
      <c r="BA14" s="35">
        <v>0</v>
      </c>
      <c r="BB14" s="17"/>
      <c r="BC14" s="35">
        <v>0</v>
      </c>
      <c r="BD14" s="17"/>
      <c r="BE14" s="35">
        <v>0</v>
      </c>
      <c r="BF14" s="17"/>
      <c r="BG14" s="35">
        <v>0</v>
      </c>
      <c r="BH14" s="17"/>
      <c r="BI14" s="17"/>
      <c r="BJ14" s="17"/>
      <c r="BK14" s="35">
        <f aca="true" t="shared" si="6" ref="BK14:BK28">SUM(BA14:BI14)</f>
        <v>0</v>
      </c>
      <c r="BL14" s="79"/>
    </row>
    <row r="15" spans="1:64" ht="12.75">
      <c r="A15" s="77" t="s">
        <v>16</v>
      </c>
      <c r="B15" s="77"/>
      <c r="C15" s="35">
        <f>+G15-E15</f>
        <v>1563352</v>
      </c>
      <c r="D15" s="35"/>
      <c r="E15" s="35">
        <f>1836061+2615903</f>
        <v>4451964</v>
      </c>
      <c r="F15" s="35"/>
      <c r="G15" s="35">
        <f>3239728+2775588</f>
        <v>6015316</v>
      </c>
      <c r="H15" s="35"/>
      <c r="I15" s="35">
        <f t="shared" si="1"/>
        <v>87209</v>
      </c>
      <c r="J15" s="35"/>
      <c r="K15" s="35">
        <f>428714+671000</f>
        <v>1099714</v>
      </c>
      <c r="L15" s="35"/>
      <c r="M15" s="35">
        <f>469911+717012</f>
        <v>1186923</v>
      </c>
      <c r="N15" s="35"/>
      <c r="O15" s="35">
        <f>1397085+1935103</f>
        <v>3332188</v>
      </c>
      <c r="P15" s="35"/>
      <c r="Q15" s="35">
        <v>0</v>
      </c>
      <c r="R15" s="35"/>
      <c r="S15" s="35">
        <f>1372732+123473</f>
        <v>1496205</v>
      </c>
      <c r="T15" s="35"/>
      <c r="U15" s="35">
        <f t="shared" si="2"/>
        <v>4828393</v>
      </c>
      <c r="V15" s="35"/>
      <c r="W15" s="35">
        <f aca="true" t="shared" si="7" ref="W15:W28">+G15-M15-U15</f>
        <v>0</v>
      </c>
      <c r="X15" s="35"/>
      <c r="Y15" s="81" t="s">
        <v>16</v>
      </c>
      <c r="Z15" s="35"/>
      <c r="AA15" s="35">
        <f>333481+166431</f>
        <v>499912</v>
      </c>
      <c r="AB15" s="17"/>
      <c r="AC15" s="35">
        <f>305712+153477-61255-62284</f>
        <v>335650</v>
      </c>
      <c r="AD15" s="17"/>
      <c r="AE15" s="35">
        <f>61255+62284</f>
        <v>123539</v>
      </c>
      <c r="AF15" s="17"/>
      <c r="AG15" s="35">
        <f t="shared" si="3"/>
        <v>40723</v>
      </c>
      <c r="AH15" s="40"/>
      <c r="AI15" s="35">
        <f>-26915-30780</f>
        <v>-57695</v>
      </c>
      <c r="AJ15" s="40"/>
      <c r="AK15" s="35">
        <v>0</v>
      </c>
      <c r="AL15" s="17"/>
      <c r="AM15" s="35">
        <v>0</v>
      </c>
      <c r="AN15" s="17"/>
      <c r="AO15" s="35">
        <v>0</v>
      </c>
      <c r="AP15" s="17"/>
      <c r="AQ15" s="35">
        <f t="shared" si="4"/>
        <v>-16972</v>
      </c>
      <c r="AR15" s="40"/>
      <c r="AS15" s="17">
        <v>0</v>
      </c>
      <c r="AT15" s="17"/>
      <c r="AU15" s="17">
        <v>0</v>
      </c>
      <c r="AV15" s="17"/>
      <c r="AW15" s="35">
        <f t="shared" si="5"/>
        <v>1476143</v>
      </c>
      <c r="AX15" s="17"/>
      <c r="AY15" s="81" t="s">
        <v>16</v>
      </c>
      <c r="AZ15" s="17"/>
      <c r="BA15" s="35">
        <f>110000</f>
        <v>110000</v>
      </c>
      <c r="BB15" s="17"/>
      <c r="BC15" s="35">
        <v>561000</v>
      </c>
      <c r="BD15" s="17"/>
      <c r="BE15" s="35">
        <v>428625</v>
      </c>
      <c r="BF15" s="17"/>
      <c r="BG15" s="35">
        <v>89</v>
      </c>
      <c r="BH15" s="17"/>
      <c r="BI15" s="17"/>
      <c r="BJ15" s="17"/>
      <c r="BK15" s="35">
        <f t="shared" si="6"/>
        <v>1099714</v>
      </c>
      <c r="BL15" s="79"/>
    </row>
    <row r="16" spans="1:64" ht="12.75">
      <c r="A16" s="77" t="s">
        <v>17</v>
      </c>
      <c r="B16" s="77"/>
      <c r="C16" s="35">
        <f t="shared" si="0"/>
        <v>471931</v>
      </c>
      <c r="D16" s="35"/>
      <c r="E16" s="35">
        <v>3302316</v>
      </c>
      <c r="F16" s="35"/>
      <c r="G16" s="35">
        <v>3774247</v>
      </c>
      <c r="H16" s="35"/>
      <c r="I16" s="35">
        <f t="shared" si="1"/>
        <v>22079</v>
      </c>
      <c r="J16" s="35"/>
      <c r="K16" s="35">
        <v>7500</v>
      </c>
      <c r="L16" s="35"/>
      <c r="M16" s="35">
        <v>29579</v>
      </c>
      <c r="N16" s="35"/>
      <c r="O16" s="35">
        <v>3289816</v>
      </c>
      <c r="P16" s="35"/>
      <c r="Q16" s="35">
        <v>0</v>
      </c>
      <c r="R16" s="35"/>
      <c r="S16" s="35">
        <v>454852</v>
      </c>
      <c r="T16" s="35"/>
      <c r="U16" s="35">
        <f t="shared" si="2"/>
        <v>3744668</v>
      </c>
      <c r="V16" s="35"/>
      <c r="W16" s="35">
        <f t="shared" si="7"/>
        <v>0</v>
      </c>
      <c r="X16" s="35"/>
      <c r="Y16" s="81" t="s">
        <v>17</v>
      </c>
      <c r="Z16" s="35"/>
      <c r="AA16" s="35">
        <v>344628</v>
      </c>
      <c r="AB16" s="17"/>
      <c r="AC16" s="35">
        <f>515685-116791</f>
        <v>398894</v>
      </c>
      <c r="AD16" s="17"/>
      <c r="AE16" s="35">
        <v>116791</v>
      </c>
      <c r="AF16" s="17"/>
      <c r="AG16" s="35">
        <f t="shared" si="3"/>
        <v>-171057</v>
      </c>
      <c r="AH16" s="40"/>
      <c r="AI16" s="35">
        <v>72</v>
      </c>
      <c r="AJ16" s="40"/>
      <c r="AK16" s="35">
        <v>0</v>
      </c>
      <c r="AL16" s="17"/>
      <c r="AM16" s="35">
        <v>0</v>
      </c>
      <c r="AN16" s="17"/>
      <c r="AO16" s="35">
        <v>0</v>
      </c>
      <c r="AP16" s="17"/>
      <c r="AQ16" s="35">
        <f t="shared" si="4"/>
        <v>-170985</v>
      </c>
      <c r="AR16" s="40"/>
      <c r="AS16" s="17">
        <v>0</v>
      </c>
      <c r="AT16" s="17"/>
      <c r="AU16" s="17">
        <v>0</v>
      </c>
      <c r="AV16" s="17"/>
      <c r="AW16" s="35">
        <f t="shared" si="5"/>
        <v>449852</v>
      </c>
      <c r="AX16" s="35"/>
      <c r="AY16" s="81" t="s">
        <v>17</v>
      </c>
      <c r="AZ16" s="35"/>
      <c r="BA16" s="35">
        <v>7500</v>
      </c>
      <c r="BB16" s="17"/>
      <c r="BC16" s="35">
        <v>0</v>
      </c>
      <c r="BD16" s="17"/>
      <c r="BE16" s="35">
        <v>0</v>
      </c>
      <c r="BF16" s="17"/>
      <c r="BG16" s="35">
        <v>0</v>
      </c>
      <c r="BH16" s="17"/>
      <c r="BI16" s="17"/>
      <c r="BJ16" s="17"/>
      <c r="BK16" s="35">
        <f t="shared" si="6"/>
        <v>7500</v>
      </c>
      <c r="BL16" s="79"/>
    </row>
    <row r="17" spans="1:64" ht="12.75">
      <c r="A17" s="77" t="s">
        <v>18</v>
      </c>
      <c r="B17" s="77"/>
      <c r="C17" s="35">
        <f>+G17-E17</f>
        <v>294460</v>
      </c>
      <c r="D17" s="35"/>
      <c r="E17" s="35">
        <v>9835681</v>
      </c>
      <c r="F17" s="35"/>
      <c r="G17" s="35">
        <v>10130141</v>
      </c>
      <c r="H17" s="35"/>
      <c r="I17" s="35">
        <f t="shared" si="1"/>
        <v>331349</v>
      </c>
      <c r="J17" s="35"/>
      <c r="K17" s="35">
        <v>6968758</v>
      </c>
      <c r="L17" s="35"/>
      <c r="M17" s="35">
        <v>7300107</v>
      </c>
      <c r="N17" s="35"/>
      <c r="O17" s="35">
        <v>2714275</v>
      </c>
      <c r="P17" s="35"/>
      <c r="Q17" s="35">
        <v>0</v>
      </c>
      <c r="R17" s="35"/>
      <c r="S17" s="35">
        <v>115759</v>
      </c>
      <c r="T17" s="35"/>
      <c r="U17" s="35">
        <f t="shared" si="2"/>
        <v>2830034</v>
      </c>
      <c r="V17" s="35"/>
      <c r="W17" s="35">
        <f t="shared" si="7"/>
        <v>0</v>
      </c>
      <c r="X17" s="35"/>
      <c r="Y17" s="81" t="s">
        <v>18</v>
      </c>
      <c r="Z17" s="35"/>
      <c r="AA17" s="35">
        <v>1065196</v>
      </c>
      <c r="AB17" s="17"/>
      <c r="AC17" s="35">
        <f>1094884-291919</f>
        <v>802965</v>
      </c>
      <c r="AD17" s="17"/>
      <c r="AE17" s="35">
        <v>291919</v>
      </c>
      <c r="AF17" s="17"/>
      <c r="AG17" s="35">
        <f t="shared" si="3"/>
        <v>-29688</v>
      </c>
      <c r="AH17" s="40"/>
      <c r="AI17" s="35">
        <v>-272542</v>
      </c>
      <c r="AJ17" s="40"/>
      <c r="AK17" s="35">
        <v>185339</v>
      </c>
      <c r="AL17" s="17"/>
      <c r="AM17" s="35">
        <v>0</v>
      </c>
      <c r="AN17" s="17"/>
      <c r="AO17" s="35">
        <v>4998</v>
      </c>
      <c r="AP17" s="17"/>
      <c r="AQ17" s="35">
        <f t="shared" si="4"/>
        <v>-111893</v>
      </c>
      <c r="AR17" s="40"/>
      <c r="AS17" s="17">
        <v>0</v>
      </c>
      <c r="AT17" s="17"/>
      <c r="AU17" s="17">
        <v>0</v>
      </c>
      <c r="AV17" s="17"/>
      <c r="AW17" s="35">
        <f t="shared" si="5"/>
        <v>-36889</v>
      </c>
      <c r="AX17" s="17"/>
      <c r="AY17" s="81" t="s">
        <v>18</v>
      </c>
      <c r="AZ17" s="17"/>
      <c r="BA17" s="35">
        <v>5141599</v>
      </c>
      <c r="BB17" s="17"/>
      <c r="BC17" s="35">
        <v>0</v>
      </c>
      <c r="BD17" s="17"/>
      <c r="BE17" s="35">
        <v>0</v>
      </c>
      <c r="BF17" s="17"/>
      <c r="BG17" s="35">
        <f>11406+15753+1800000</f>
        <v>1827159</v>
      </c>
      <c r="BH17" s="17"/>
      <c r="BI17" s="17"/>
      <c r="BJ17" s="17"/>
      <c r="BK17" s="35">
        <f t="shared" si="6"/>
        <v>6968758</v>
      </c>
      <c r="BL17" s="79"/>
    </row>
    <row r="18" spans="1:64" ht="12.75" hidden="1">
      <c r="A18" s="77" t="s">
        <v>240</v>
      </c>
      <c r="B18" s="77"/>
      <c r="C18" s="35">
        <f t="shared" si="0"/>
        <v>0</v>
      </c>
      <c r="D18" s="35"/>
      <c r="E18" s="35">
        <v>0</v>
      </c>
      <c r="F18" s="35"/>
      <c r="G18" s="35">
        <v>0</v>
      </c>
      <c r="H18" s="35"/>
      <c r="I18" s="35">
        <f t="shared" si="1"/>
        <v>0</v>
      </c>
      <c r="J18" s="35"/>
      <c r="K18" s="35">
        <v>0</v>
      </c>
      <c r="L18" s="35"/>
      <c r="M18" s="35"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5">
        <f t="shared" si="2"/>
        <v>0</v>
      </c>
      <c r="V18" s="35"/>
      <c r="W18" s="35">
        <f t="shared" si="7"/>
        <v>0</v>
      </c>
      <c r="X18" s="35"/>
      <c r="Y18" s="81" t="s">
        <v>96</v>
      </c>
      <c r="Z18" s="35"/>
      <c r="AA18" s="35"/>
      <c r="AB18" s="17"/>
      <c r="AC18" s="35"/>
      <c r="AD18" s="17"/>
      <c r="AE18" s="35"/>
      <c r="AF18" s="17"/>
      <c r="AG18" s="35">
        <f t="shared" si="3"/>
        <v>0</v>
      </c>
      <c r="AH18" s="40"/>
      <c r="AI18" s="35">
        <v>0</v>
      </c>
      <c r="AJ18" s="40"/>
      <c r="AK18" s="35">
        <v>0</v>
      </c>
      <c r="AL18" s="17"/>
      <c r="AM18" s="35">
        <v>0</v>
      </c>
      <c r="AN18" s="17"/>
      <c r="AO18" s="35">
        <v>0</v>
      </c>
      <c r="AP18" s="17"/>
      <c r="AQ18" s="35">
        <f t="shared" si="4"/>
        <v>0</v>
      </c>
      <c r="AR18" s="40"/>
      <c r="AS18" s="17">
        <v>0</v>
      </c>
      <c r="AT18" s="17"/>
      <c r="AU18" s="17">
        <v>0</v>
      </c>
      <c r="AV18" s="17"/>
      <c r="AW18" s="35">
        <f t="shared" si="5"/>
        <v>0</v>
      </c>
      <c r="AX18" s="35"/>
      <c r="AY18" s="81" t="s">
        <v>96</v>
      </c>
      <c r="AZ18" s="35"/>
      <c r="BA18" s="35">
        <v>0</v>
      </c>
      <c r="BB18" s="17"/>
      <c r="BC18" s="35">
        <v>0</v>
      </c>
      <c r="BD18" s="17"/>
      <c r="BE18" s="35">
        <v>0</v>
      </c>
      <c r="BF18" s="17"/>
      <c r="BG18" s="35">
        <v>0</v>
      </c>
      <c r="BH18" s="17"/>
      <c r="BI18" s="17"/>
      <c r="BJ18" s="17"/>
      <c r="BK18" s="35">
        <f t="shared" si="6"/>
        <v>0</v>
      </c>
      <c r="BL18" s="79"/>
    </row>
    <row r="19" spans="1:64" ht="12.75" hidden="1">
      <c r="A19" s="77" t="s">
        <v>238</v>
      </c>
      <c r="B19" s="77"/>
      <c r="C19" s="35">
        <f t="shared" si="0"/>
        <v>0</v>
      </c>
      <c r="D19" s="35"/>
      <c r="E19" s="35">
        <v>0</v>
      </c>
      <c r="F19" s="35"/>
      <c r="G19" s="35">
        <v>0</v>
      </c>
      <c r="H19" s="35"/>
      <c r="I19" s="35">
        <f t="shared" si="1"/>
        <v>0</v>
      </c>
      <c r="J19" s="35"/>
      <c r="K19" s="35"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  <c r="S19" s="35">
        <v>0</v>
      </c>
      <c r="T19" s="35"/>
      <c r="U19" s="35">
        <f>SUM(O19:S19)</f>
        <v>0</v>
      </c>
      <c r="V19" s="35"/>
      <c r="W19" s="35">
        <f t="shared" si="7"/>
        <v>0</v>
      </c>
      <c r="X19" s="35"/>
      <c r="Y19" s="81" t="s">
        <v>238</v>
      </c>
      <c r="Z19" s="35"/>
      <c r="AA19" s="35"/>
      <c r="AB19" s="17"/>
      <c r="AC19" s="35"/>
      <c r="AD19" s="17"/>
      <c r="AE19" s="35"/>
      <c r="AF19" s="17"/>
      <c r="AG19" s="35">
        <f t="shared" si="3"/>
        <v>0</v>
      </c>
      <c r="AH19" s="40"/>
      <c r="AI19" s="35">
        <v>0</v>
      </c>
      <c r="AJ19" s="40"/>
      <c r="AK19" s="35">
        <v>0</v>
      </c>
      <c r="AL19" s="17"/>
      <c r="AM19" s="35">
        <v>0</v>
      </c>
      <c r="AN19" s="17"/>
      <c r="AO19" s="35">
        <v>0</v>
      </c>
      <c r="AP19" s="17"/>
      <c r="AQ19" s="35">
        <f t="shared" si="4"/>
        <v>0</v>
      </c>
      <c r="AR19" s="40"/>
      <c r="AS19" s="17">
        <v>0</v>
      </c>
      <c r="AT19" s="17"/>
      <c r="AU19" s="17">
        <v>0</v>
      </c>
      <c r="AV19" s="17"/>
      <c r="AW19" s="35">
        <f t="shared" si="5"/>
        <v>0</v>
      </c>
      <c r="AX19" s="35"/>
      <c r="AY19" s="81" t="s">
        <v>238</v>
      </c>
      <c r="AZ19" s="35"/>
      <c r="BA19" s="35">
        <v>0</v>
      </c>
      <c r="BB19" s="17"/>
      <c r="BC19" s="35">
        <v>0</v>
      </c>
      <c r="BD19" s="17"/>
      <c r="BE19" s="35">
        <v>0</v>
      </c>
      <c r="BF19" s="17"/>
      <c r="BG19" s="35">
        <v>0</v>
      </c>
      <c r="BH19" s="17"/>
      <c r="BI19" s="17"/>
      <c r="BJ19" s="17"/>
      <c r="BK19" s="35">
        <f t="shared" si="6"/>
        <v>0</v>
      </c>
      <c r="BL19" s="79"/>
    </row>
    <row r="20" spans="1:64" ht="12.75">
      <c r="A20" s="77" t="s">
        <v>20</v>
      </c>
      <c r="B20" s="77"/>
      <c r="C20" s="35">
        <f t="shared" si="0"/>
        <v>644764</v>
      </c>
      <c r="D20" s="35"/>
      <c r="E20" s="35">
        <v>6351793</v>
      </c>
      <c r="F20" s="35"/>
      <c r="G20" s="35">
        <v>6996557</v>
      </c>
      <c r="H20" s="35"/>
      <c r="I20" s="35">
        <f t="shared" si="1"/>
        <v>298145</v>
      </c>
      <c r="J20" s="35"/>
      <c r="K20" s="35">
        <v>2998383</v>
      </c>
      <c r="L20" s="35"/>
      <c r="M20" s="35">
        <v>3296528</v>
      </c>
      <c r="N20" s="35"/>
      <c r="O20" s="35">
        <v>3269523</v>
      </c>
      <c r="P20" s="35"/>
      <c r="Q20" s="35">
        <v>28970</v>
      </c>
      <c r="R20" s="35"/>
      <c r="S20" s="35">
        <v>401536</v>
      </c>
      <c r="T20" s="35"/>
      <c r="U20" s="35">
        <f t="shared" si="2"/>
        <v>3700029</v>
      </c>
      <c r="V20" s="35"/>
      <c r="W20" s="35">
        <f t="shared" si="7"/>
        <v>0</v>
      </c>
      <c r="X20" s="35"/>
      <c r="Y20" s="81" t="s">
        <v>20</v>
      </c>
      <c r="Z20" s="35"/>
      <c r="AA20" s="35">
        <v>749954</v>
      </c>
      <c r="AB20" s="17"/>
      <c r="AC20" s="35">
        <f>783156-259632</f>
        <v>523524</v>
      </c>
      <c r="AD20" s="17"/>
      <c r="AE20" s="35">
        <v>259632</v>
      </c>
      <c r="AF20" s="17"/>
      <c r="AG20" s="35">
        <f t="shared" si="3"/>
        <v>-33202</v>
      </c>
      <c r="AH20" s="40"/>
      <c r="AI20" s="35">
        <v>-135989</v>
      </c>
      <c r="AJ20" s="40"/>
      <c r="AK20" s="35">
        <v>0</v>
      </c>
      <c r="AL20" s="17"/>
      <c r="AM20" s="35">
        <v>0</v>
      </c>
      <c r="AN20" s="17"/>
      <c r="AO20" s="35">
        <v>0</v>
      </c>
      <c r="AP20" s="17"/>
      <c r="AQ20" s="35">
        <f t="shared" si="4"/>
        <v>-169191</v>
      </c>
      <c r="AR20" s="40"/>
      <c r="AS20" s="17">
        <v>0</v>
      </c>
      <c r="AT20" s="17"/>
      <c r="AU20" s="17">
        <v>0</v>
      </c>
      <c r="AV20" s="17"/>
      <c r="AW20" s="35">
        <f t="shared" si="5"/>
        <v>346619</v>
      </c>
      <c r="AX20" s="17"/>
      <c r="AY20" s="81" t="s">
        <v>20</v>
      </c>
      <c r="AZ20" s="17"/>
      <c r="BA20" s="35">
        <v>0</v>
      </c>
      <c r="BB20" s="17"/>
      <c r="BC20" s="35">
        <v>2809400</v>
      </c>
      <c r="BD20" s="17"/>
      <c r="BE20" s="35">
        <v>181600</v>
      </c>
      <c r="BF20" s="17"/>
      <c r="BG20" s="35">
        <v>7383</v>
      </c>
      <c r="BH20" s="17"/>
      <c r="BI20" s="17"/>
      <c r="BJ20" s="17"/>
      <c r="BK20" s="35">
        <f t="shared" si="6"/>
        <v>2998383</v>
      </c>
      <c r="BL20" s="79"/>
    </row>
    <row r="21" spans="1:64" ht="12.75" hidden="1">
      <c r="A21" s="23" t="s">
        <v>173</v>
      </c>
      <c r="B21" s="23"/>
      <c r="C21" s="35">
        <f t="shared" si="0"/>
        <v>0</v>
      </c>
      <c r="D21" s="35"/>
      <c r="E21" s="35"/>
      <c r="F21" s="35"/>
      <c r="G21" s="35"/>
      <c r="H21" s="35"/>
      <c r="I21" s="35">
        <f t="shared" si="1"/>
        <v>0</v>
      </c>
      <c r="J21" s="35"/>
      <c r="K21" s="35">
        <v>0</v>
      </c>
      <c r="L21" s="35"/>
      <c r="M21" s="35"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5">
        <f t="shared" si="2"/>
        <v>0</v>
      </c>
      <c r="V21" s="35"/>
      <c r="W21" s="35">
        <f t="shared" si="7"/>
        <v>0</v>
      </c>
      <c r="X21" s="35"/>
      <c r="Y21" s="17" t="s">
        <v>173</v>
      </c>
      <c r="Z21" s="35"/>
      <c r="AA21" s="35"/>
      <c r="AB21" s="17"/>
      <c r="AC21" s="35"/>
      <c r="AD21" s="17"/>
      <c r="AE21" s="35"/>
      <c r="AF21" s="17"/>
      <c r="AG21" s="35">
        <f t="shared" si="3"/>
        <v>0</v>
      </c>
      <c r="AH21" s="40"/>
      <c r="AI21" s="35">
        <v>0</v>
      </c>
      <c r="AJ21" s="40"/>
      <c r="AK21" s="35">
        <v>0</v>
      </c>
      <c r="AL21" s="17"/>
      <c r="AM21" s="35">
        <v>0</v>
      </c>
      <c r="AN21" s="17"/>
      <c r="AO21" s="35">
        <v>0</v>
      </c>
      <c r="AP21" s="17"/>
      <c r="AQ21" s="35">
        <f t="shared" si="4"/>
        <v>0</v>
      </c>
      <c r="AR21" s="40"/>
      <c r="AS21" s="17">
        <v>0</v>
      </c>
      <c r="AT21" s="17"/>
      <c r="AU21" s="17">
        <v>0</v>
      </c>
      <c r="AV21" s="17"/>
      <c r="AW21" s="35">
        <f t="shared" si="5"/>
        <v>0</v>
      </c>
      <c r="AX21" s="35"/>
      <c r="AY21" s="17" t="s">
        <v>173</v>
      </c>
      <c r="AZ21" s="35"/>
      <c r="BA21" s="35">
        <v>0</v>
      </c>
      <c r="BB21" s="17"/>
      <c r="BC21" s="35">
        <v>0</v>
      </c>
      <c r="BD21" s="17"/>
      <c r="BE21" s="35">
        <v>0</v>
      </c>
      <c r="BF21" s="17"/>
      <c r="BG21" s="35">
        <v>0</v>
      </c>
      <c r="BH21" s="17"/>
      <c r="BI21" s="17"/>
      <c r="BJ21" s="17"/>
      <c r="BK21" s="35">
        <f t="shared" si="6"/>
        <v>0</v>
      </c>
      <c r="BL21" s="79"/>
    </row>
    <row r="22" spans="1:64" ht="12.75">
      <c r="A22" s="77" t="s">
        <v>21</v>
      </c>
      <c r="B22" s="77"/>
      <c r="C22" s="35">
        <f t="shared" si="0"/>
        <v>5292621</v>
      </c>
      <c r="D22" s="35"/>
      <c r="E22" s="35">
        <v>10970798</v>
      </c>
      <c r="F22" s="35"/>
      <c r="G22" s="35">
        <v>16263419</v>
      </c>
      <c r="H22" s="35"/>
      <c r="I22" s="35">
        <f t="shared" si="1"/>
        <v>562569</v>
      </c>
      <c r="J22" s="35"/>
      <c r="K22" s="35">
        <v>3055026</v>
      </c>
      <c r="L22" s="35"/>
      <c r="M22" s="35">
        <v>3617595</v>
      </c>
      <c r="N22" s="35"/>
      <c r="O22" s="35">
        <v>7529291</v>
      </c>
      <c r="P22" s="35"/>
      <c r="Q22" s="35">
        <v>0</v>
      </c>
      <c r="R22" s="35"/>
      <c r="S22" s="35">
        <v>5116533</v>
      </c>
      <c r="T22" s="35"/>
      <c r="U22" s="35">
        <f t="shared" si="2"/>
        <v>12645824</v>
      </c>
      <c r="V22" s="35"/>
      <c r="W22" s="35">
        <f t="shared" si="7"/>
        <v>0</v>
      </c>
      <c r="X22" s="35"/>
      <c r="Y22" s="81" t="s">
        <v>21</v>
      </c>
      <c r="Z22" s="35"/>
      <c r="AA22" s="35">
        <v>3955440</v>
      </c>
      <c r="AB22" s="17"/>
      <c r="AC22" s="35">
        <f>2921581-498037</f>
        <v>2423544</v>
      </c>
      <c r="AD22" s="17"/>
      <c r="AE22" s="35">
        <v>498037</v>
      </c>
      <c r="AF22" s="17"/>
      <c r="AG22" s="35">
        <f t="shared" si="3"/>
        <v>1033859</v>
      </c>
      <c r="AH22" s="40"/>
      <c r="AI22" s="35">
        <v>-117898</v>
      </c>
      <c r="AJ22" s="40"/>
      <c r="AK22" s="35">
        <v>0</v>
      </c>
      <c r="AL22" s="17"/>
      <c r="AM22" s="35">
        <v>0</v>
      </c>
      <c r="AN22" s="17"/>
      <c r="AO22" s="35">
        <v>-105592</v>
      </c>
      <c r="AP22" s="17"/>
      <c r="AQ22" s="35">
        <f t="shared" si="4"/>
        <v>810369</v>
      </c>
      <c r="AR22" s="40"/>
      <c r="AS22" s="17">
        <v>0</v>
      </c>
      <c r="AT22" s="17"/>
      <c r="AU22" s="17">
        <v>0</v>
      </c>
      <c r="AV22" s="17"/>
      <c r="AW22" s="35">
        <f t="shared" si="5"/>
        <v>4730052</v>
      </c>
      <c r="AX22" s="17"/>
      <c r="AY22" s="81" t="s">
        <v>21</v>
      </c>
      <c r="AZ22" s="17"/>
      <c r="BA22" s="35">
        <f>2233500+16757-13628</f>
        <v>2236629</v>
      </c>
      <c r="BB22" s="17"/>
      <c r="BC22" s="35">
        <v>0</v>
      </c>
      <c r="BD22" s="17"/>
      <c r="BE22" s="35">
        <f>171582+566484</f>
        <v>738066</v>
      </c>
      <c r="BF22" s="17"/>
      <c r="BG22" s="35">
        <f>80331</f>
        <v>80331</v>
      </c>
      <c r="BH22" s="17"/>
      <c r="BI22" s="17"/>
      <c r="BJ22" s="17"/>
      <c r="BK22" s="35">
        <f t="shared" si="6"/>
        <v>3055026</v>
      </c>
      <c r="BL22" s="79"/>
    </row>
    <row r="23" spans="1:64" ht="12.75">
      <c r="A23" s="77" t="s">
        <v>181</v>
      </c>
      <c r="B23" s="77"/>
      <c r="C23" s="35">
        <f t="shared" si="0"/>
        <v>30935737</v>
      </c>
      <c r="D23" s="35"/>
      <c r="E23" s="35">
        <v>178224283</v>
      </c>
      <c r="F23" s="35"/>
      <c r="G23" s="35">
        <v>209160020</v>
      </c>
      <c r="H23" s="35"/>
      <c r="I23" s="35">
        <f t="shared" si="1"/>
        <v>6696212</v>
      </c>
      <c r="J23" s="35"/>
      <c r="K23" s="35">
        <v>38932137</v>
      </c>
      <c r="L23" s="35"/>
      <c r="M23" s="35">
        <v>45628349</v>
      </c>
      <c r="N23" s="35"/>
      <c r="O23" s="35">
        <v>131153903</v>
      </c>
      <c r="P23" s="35"/>
      <c r="Q23" s="35">
        <v>2921626</v>
      </c>
      <c r="R23" s="35"/>
      <c r="S23" s="35">
        <v>29456142</v>
      </c>
      <c r="T23" s="35"/>
      <c r="U23" s="35">
        <f t="shared" si="2"/>
        <v>163531671</v>
      </c>
      <c r="V23" s="35"/>
      <c r="W23" s="35">
        <f t="shared" si="7"/>
        <v>0</v>
      </c>
      <c r="X23" s="35"/>
      <c r="Y23" s="81" t="s">
        <v>181</v>
      </c>
      <c r="Z23" s="35"/>
      <c r="AA23" s="35">
        <v>14552687</v>
      </c>
      <c r="AB23" s="17"/>
      <c r="AC23" s="35">
        <f>17579680-7624910</f>
        <v>9954770</v>
      </c>
      <c r="AD23" s="17"/>
      <c r="AE23" s="35">
        <v>7624910</v>
      </c>
      <c r="AF23" s="17"/>
      <c r="AG23" s="35">
        <f t="shared" si="3"/>
        <v>-3026993</v>
      </c>
      <c r="AH23" s="40"/>
      <c r="AI23" s="35">
        <v>-1664880</v>
      </c>
      <c r="AJ23" s="40"/>
      <c r="AK23" s="35">
        <v>0</v>
      </c>
      <c r="AL23" s="17"/>
      <c r="AM23" s="35">
        <v>0</v>
      </c>
      <c r="AN23" s="17"/>
      <c r="AO23" s="35">
        <v>1793577</v>
      </c>
      <c r="AP23" s="17"/>
      <c r="AQ23" s="35">
        <f t="shared" si="4"/>
        <v>-2898296</v>
      </c>
      <c r="AR23" s="40"/>
      <c r="AS23" s="17">
        <v>0</v>
      </c>
      <c r="AT23" s="17"/>
      <c r="AU23" s="17">
        <v>0</v>
      </c>
      <c r="AV23" s="17"/>
      <c r="AW23" s="35">
        <f t="shared" si="5"/>
        <v>24239525</v>
      </c>
      <c r="AX23" s="17"/>
      <c r="AY23" s="81" t="s">
        <v>181</v>
      </c>
      <c r="AZ23" s="17"/>
      <c r="BA23" s="35">
        <v>0</v>
      </c>
      <c r="BB23" s="17"/>
      <c r="BC23" s="35">
        <v>25180000</v>
      </c>
      <c r="BD23" s="17"/>
      <c r="BE23" s="35">
        <v>8274323</v>
      </c>
      <c r="BF23" s="17"/>
      <c r="BG23" s="35">
        <v>5477814</v>
      </c>
      <c r="BH23" s="17"/>
      <c r="BI23" s="17"/>
      <c r="BJ23" s="17"/>
      <c r="BK23" s="35">
        <f t="shared" si="6"/>
        <v>38932137</v>
      </c>
      <c r="BL23" s="79"/>
    </row>
    <row r="24" spans="1:64" ht="12.75" hidden="1">
      <c r="A24" s="77" t="s">
        <v>22</v>
      </c>
      <c r="B24" s="77"/>
      <c r="C24" s="35">
        <f t="shared" si="0"/>
        <v>0</v>
      </c>
      <c r="D24" s="35"/>
      <c r="E24" s="35">
        <v>0</v>
      </c>
      <c r="F24" s="35"/>
      <c r="G24" s="35">
        <v>0</v>
      </c>
      <c r="H24" s="35"/>
      <c r="I24" s="35">
        <f t="shared" si="1"/>
        <v>0</v>
      </c>
      <c r="J24" s="35"/>
      <c r="K24" s="35">
        <v>0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f t="shared" si="2"/>
        <v>0</v>
      </c>
      <c r="V24" s="35"/>
      <c r="W24" s="35">
        <f t="shared" si="7"/>
        <v>0</v>
      </c>
      <c r="X24" s="35"/>
      <c r="Y24" s="81" t="s">
        <v>22</v>
      </c>
      <c r="Z24" s="35"/>
      <c r="AA24" s="35"/>
      <c r="AB24" s="17"/>
      <c r="AC24" s="35"/>
      <c r="AD24" s="17"/>
      <c r="AE24" s="35"/>
      <c r="AF24" s="17"/>
      <c r="AG24" s="35">
        <f t="shared" si="3"/>
        <v>0</v>
      </c>
      <c r="AH24" s="40"/>
      <c r="AI24" s="35">
        <v>0</v>
      </c>
      <c r="AJ24" s="40"/>
      <c r="AK24" s="35">
        <v>0</v>
      </c>
      <c r="AL24" s="17"/>
      <c r="AM24" s="35">
        <v>0</v>
      </c>
      <c r="AN24" s="17"/>
      <c r="AO24" s="35">
        <v>0</v>
      </c>
      <c r="AP24" s="17"/>
      <c r="AQ24" s="35">
        <f t="shared" si="4"/>
        <v>0</v>
      </c>
      <c r="AR24" s="40"/>
      <c r="AS24" s="17">
        <v>0</v>
      </c>
      <c r="AT24" s="17"/>
      <c r="AU24" s="17">
        <v>0</v>
      </c>
      <c r="AV24" s="17"/>
      <c r="AW24" s="35">
        <f t="shared" si="5"/>
        <v>0</v>
      </c>
      <c r="AX24" s="35"/>
      <c r="AY24" s="81" t="s">
        <v>22</v>
      </c>
      <c r="AZ24" s="35"/>
      <c r="BA24" s="35">
        <v>0</v>
      </c>
      <c r="BB24" s="17"/>
      <c r="BC24" s="35">
        <v>0</v>
      </c>
      <c r="BD24" s="17"/>
      <c r="BE24" s="35">
        <v>0</v>
      </c>
      <c r="BF24" s="17"/>
      <c r="BG24" s="35">
        <v>0</v>
      </c>
      <c r="BH24" s="17"/>
      <c r="BI24" s="17"/>
      <c r="BJ24" s="17"/>
      <c r="BK24" s="35">
        <f t="shared" si="6"/>
        <v>0</v>
      </c>
      <c r="BL24" s="79"/>
    </row>
    <row r="25" spans="1:64" ht="12.75" hidden="1">
      <c r="A25" s="77" t="s">
        <v>23</v>
      </c>
      <c r="B25" s="77"/>
      <c r="C25" s="35">
        <f t="shared" si="0"/>
        <v>0</v>
      </c>
      <c r="D25" s="35"/>
      <c r="E25" s="35">
        <v>0</v>
      </c>
      <c r="F25" s="35"/>
      <c r="G25" s="35">
        <v>0</v>
      </c>
      <c r="H25" s="35"/>
      <c r="I25" s="35">
        <f t="shared" si="1"/>
        <v>0</v>
      </c>
      <c r="J25" s="35"/>
      <c r="K25" s="35">
        <v>0</v>
      </c>
      <c r="L25" s="35"/>
      <c r="M25" s="35"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5">
        <f t="shared" si="2"/>
        <v>0</v>
      </c>
      <c r="V25" s="35"/>
      <c r="W25" s="35">
        <f t="shared" si="7"/>
        <v>0</v>
      </c>
      <c r="X25" s="35"/>
      <c r="Y25" s="81" t="s">
        <v>23</v>
      </c>
      <c r="Z25" s="35"/>
      <c r="AA25" s="35"/>
      <c r="AB25" s="17"/>
      <c r="AC25" s="35"/>
      <c r="AD25" s="17"/>
      <c r="AE25" s="35"/>
      <c r="AF25" s="17"/>
      <c r="AG25" s="35">
        <f t="shared" si="3"/>
        <v>0</v>
      </c>
      <c r="AH25" s="40"/>
      <c r="AI25" s="35">
        <v>0</v>
      </c>
      <c r="AJ25" s="40"/>
      <c r="AK25" s="35">
        <v>0</v>
      </c>
      <c r="AL25" s="17"/>
      <c r="AM25" s="35">
        <v>0</v>
      </c>
      <c r="AN25" s="17"/>
      <c r="AO25" s="35">
        <v>0</v>
      </c>
      <c r="AP25" s="17"/>
      <c r="AQ25" s="35">
        <f t="shared" si="4"/>
        <v>0</v>
      </c>
      <c r="AR25" s="40"/>
      <c r="AS25" s="17">
        <v>0</v>
      </c>
      <c r="AT25" s="17"/>
      <c r="AU25" s="17">
        <v>0</v>
      </c>
      <c r="AV25" s="17"/>
      <c r="AW25" s="35">
        <f t="shared" si="5"/>
        <v>0</v>
      </c>
      <c r="AX25" s="17"/>
      <c r="AY25" s="81" t="s">
        <v>23</v>
      </c>
      <c r="AZ25" s="17"/>
      <c r="BA25" s="35">
        <v>0</v>
      </c>
      <c r="BB25" s="17"/>
      <c r="BC25" s="35">
        <v>0</v>
      </c>
      <c r="BD25" s="17"/>
      <c r="BE25" s="35">
        <v>0</v>
      </c>
      <c r="BF25" s="17"/>
      <c r="BG25" s="35">
        <v>0</v>
      </c>
      <c r="BH25" s="17"/>
      <c r="BI25" s="17"/>
      <c r="BJ25" s="17"/>
      <c r="BK25" s="35">
        <f t="shared" si="6"/>
        <v>0</v>
      </c>
      <c r="BL25" s="79"/>
    </row>
    <row r="26" spans="1:64" ht="12.75" hidden="1">
      <c r="A26" s="77" t="s">
        <v>24</v>
      </c>
      <c r="B26" s="77"/>
      <c r="C26" s="35">
        <f t="shared" si="0"/>
        <v>0</v>
      </c>
      <c r="D26" s="35"/>
      <c r="E26" s="35">
        <v>0</v>
      </c>
      <c r="F26" s="35"/>
      <c r="G26" s="35">
        <v>0</v>
      </c>
      <c r="H26" s="35"/>
      <c r="I26" s="35">
        <f t="shared" si="1"/>
        <v>0</v>
      </c>
      <c r="J26" s="35"/>
      <c r="K26" s="35">
        <v>0</v>
      </c>
      <c r="L26" s="35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f t="shared" si="2"/>
        <v>0</v>
      </c>
      <c r="V26" s="35"/>
      <c r="W26" s="35">
        <f t="shared" si="7"/>
        <v>0</v>
      </c>
      <c r="X26" s="35"/>
      <c r="Y26" s="81" t="s">
        <v>24</v>
      </c>
      <c r="Z26" s="35"/>
      <c r="AA26" s="35"/>
      <c r="AB26" s="17"/>
      <c r="AC26" s="35"/>
      <c r="AD26" s="17"/>
      <c r="AE26" s="35"/>
      <c r="AF26" s="17"/>
      <c r="AG26" s="35">
        <f t="shared" si="3"/>
        <v>0</v>
      </c>
      <c r="AH26" s="40"/>
      <c r="AI26" s="35">
        <v>0</v>
      </c>
      <c r="AJ26" s="40"/>
      <c r="AK26" s="35">
        <v>0</v>
      </c>
      <c r="AL26" s="17"/>
      <c r="AM26" s="35">
        <v>0</v>
      </c>
      <c r="AN26" s="17"/>
      <c r="AO26" s="35">
        <v>0</v>
      </c>
      <c r="AP26" s="17"/>
      <c r="AQ26" s="35">
        <f t="shared" si="4"/>
        <v>0</v>
      </c>
      <c r="AR26" s="40"/>
      <c r="AS26" s="17">
        <v>0</v>
      </c>
      <c r="AT26" s="17"/>
      <c r="AU26" s="17">
        <v>0</v>
      </c>
      <c r="AV26" s="17"/>
      <c r="AW26" s="35">
        <f t="shared" si="5"/>
        <v>0</v>
      </c>
      <c r="AX26" s="17"/>
      <c r="AY26" s="81" t="s">
        <v>24</v>
      </c>
      <c r="AZ26" s="17"/>
      <c r="BA26" s="35">
        <v>0</v>
      </c>
      <c r="BB26" s="17"/>
      <c r="BC26" s="35">
        <v>0</v>
      </c>
      <c r="BD26" s="17"/>
      <c r="BE26" s="35">
        <v>0</v>
      </c>
      <c r="BF26" s="17"/>
      <c r="BG26" s="35">
        <v>0</v>
      </c>
      <c r="BH26" s="17"/>
      <c r="BI26" s="17"/>
      <c r="BJ26" s="17"/>
      <c r="BK26" s="35">
        <f t="shared" si="6"/>
        <v>0</v>
      </c>
      <c r="BL26" s="79"/>
    </row>
    <row r="27" spans="1:64" ht="12.75">
      <c r="A27" s="77" t="s">
        <v>243</v>
      </c>
      <c r="B27" s="77"/>
      <c r="C27" s="35">
        <f t="shared" si="0"/>
        <v>162503</v>
      </c>
      <c r="D27" s="35"/>
      <c r="E27" s="35">
        <v>1697264</v>
      </c>
      <c r="F27" s="35"/>
      <c r="G27" s="35">
        <v>1859767</v>
      </c>
      <c r="H27" s="35"/>
      <c r="I27" s="35">
        <f t="shared" si="1"/>
        <v>18161</v>
      </c>
      <c r="J27" s="35"/>
      <c r="K27" s="35">
        <v>567168</v>
      </c>
      <c r="L27" s="35"/>
      <c r="M27" s="35">
        <v>585329</v>
      </c>
      <c r="N27" s="35"/>
      <c r="O27" s="35">
        <v>1224380</v>
      </c>
      <c r="P27" s="35"/>
      <c r="Q27" s="35">
        <v>0</v>
      </c>
      <c r="R27" s="35"/>
      <c r="S27" s="35">
        <v>50058</v>
      </c>
      <c r="T27" s="35"/>
      <c r="U27" s="35">
        <f t="shared" si="2"/>
        <v>1274438</v>
      </c>
      <c r="V27" s="35"/>
      <c r="W27" s="35">
        <f t="shared" si="7"/>
        <v>0</v>
      </c>
      <c r="X27" s="35"/>
      <c r="Y27" s="81" t="s">
        <v>179</v>
      </c>
      <c r="Z27" s="35"/>
      <c r="AA27" s="35">
        <v>201933</v>
      </c>
      <c r="AB27" s="17"/>
      <c r="AC27" s="35">
        <f>164395-59896</f>
        <v>104499</v>
      </c>
      <c r="AD27" s="17"/>
      <c r="AE27" s="35">
        <v>59896</v>
      </c>
      <c r="AF27" s="17"/>
      <c r="AG27" s="35">
        <f t="shared" si="3"/>
        <v>37538</v>
      </c>
      <c r="AH27" s="40"/>
      <c r="AI27" s="35">
        <v>-38809</v>
      </c>
      <c r="AJ27" s="40"/>
      <c r="AK27" s="35">
        <v>0</v>
      </c>
      <c r="AL27" s="17"/>
      <c r="AM27" s="35">
        <v>0</v>
      </c>
      <c r="AN27" s="17"/>
      <c r="AO27" s="35">
        <v>0</v>
      </c>
      <c r="AP27" s="17"/>
      <c r="AQ27" s="35">
        <f t="shared" si="4"/>
        <v>-1271</v>
      </c>
      <c r="AR27" s="40"/>
      <c r="AS27" s="17">
        <v>0</v>
      </c>
      <c r="AT27" s="17"/>
      <c r="AU27" s="17">
        <v>0</v>
      </c>
      <c r="AV27" s="17"/>
      <c r="AW27" s="35">
        <f t="shared" si="5"/>
        <v>144342</v>
      </c>
      <c r="AX27" s="17"/>
      <c r="AY27" s="81" t="s">
        <v>179</v>
      </c>
      <c r="AZ27" s="17"/>
      <c r="BA27" s="35">
        <v>529984</v>
      </c>
      <c r="BB27" s="17"/>
      <c r="BC27" s="35">
        <v>0</v>
      </c>
      <c r="BD27" s="17"/>
      <c r="BE27" s="35">
        <v>37184</v>
      </c>
      <c r="BF27" s="17"/>
      <c r="BG27" s="35">
        <v>0</v>
      </c>
      <c r="BH27" s="17"/>
      <c r="BI27" s="17"/>
      <c r="BJ27" s="17"/>
      <c r="BK27" s="35">
        <f t="shared" si="6"/>
        <v>567168</v>
      </c>
      <c r="BL27" s="79"/>
    </row>
    <row r="28" spans="1:64" ht="12.75">
      <c r="A28" s="77" t="s">
        <v>25</v>
      </c>
      <c r="B28" s="77"/>
      <c r="C28" s="35">
        <f t="shared" si="0"/>
        <v>20583000</v>
      </c>
      <c r="D28" s="35"/>
      <c r="E28" s="35">
        <f>37227*1000</f>
        <v>37227000</v>
      </c>
      <c r="F28" s="35"/>
      <c r="G28" s="35">
        <f>57810*1000</f>
        <v>57810000</v>
      </c>
      <c r="H28" s="35"/>
      <c r="I28" s="35">
        <f t="shared" si="1"/>
        <v>3463000</v>
      </c>
      <c r="J28" s="35"/>
      <c r="K28" s="35">
        <f>(16991-3463)*1000</f>
        <v>13528000</v>
      </c>
      <c r="L28" s="35"/>
      <c r="M28" s="35">
        <f>16991*1000</f>
        <v>16991000</v>
      </c>
      <c r="N28" s="35"/>
      <c r="O28" s="35">
        <f>21638*1000</f>
        <v>21638000</v>
      </c>
      <c r="P28" s="35"/>
      <c r="Q28" s="35">
        <v>0</v>
      </c>
      <c r="R28" s="35"/>
      <c r="S28" s="35">
        <f>19181*1000</f>
        <v>19181000</v>
      </c>
      <c r="T28" s="35"/>
      <c r="U28" s="35">
        <f t="shared" si="2"/>
        <v>40819000</v>
      </c>
      <c r="V28" s="35"/>
      <c r="W28" s="35">
        <f t="shared" si="7"/>
        <v>0</v>
      </c>
      <c r="X28" s="35"/>
      <c r="Y28" s="81" t="s">
        <v>25</v>
      </c>
      <c r="Z28" s="35"/>
      <c r="AA28" s="35">
        <f>20204*1000</f>
        <v>20204000</v>
      </c>
      <c r="AB28" s="17"/>
      <c r="AC28" s="35">
        <f>(14028-1866)*1000</f>
        <v>12162000</v>
      </c>
      <c r="AD28" s="17"/>
      <c r="AE28" s="35">
        <f>1866*1000</f>
        <v>1866000</v>
      </c>
      <c r="AF28" s="17"/>
      <c r="AG28" s="35">
        <f t="shared" si="3"/>
        <v>6176000</v>
      </c>
      <c r="AH28" s="40"/>
      <c r="AI28" s="35">
        <f>(-413*1000)</f>
        <v>-413000</v>
      </c>
      <c r="AJ28" s="40"/>
      <c r="AK28" s="35">
        <v>0</v>
      </c>
      <c r="AL28" s="17"/>
      <c r="AM28" s="155">
        <f>10*1000</f>
        <v>10000</v>
      </c>
      <c r="AN28" s="17"/>
      <c r="AO28" s="35">
        <v>0</v>
      </c>
      <c r="AP28" s="17"/>
      <c r="AQ28" s="35">
        <f t="shared" si="4"/>
        <v>5753000</v>
      </c>
      <c r="AR28" s="40"/>
      <c r="AS28" s="17">
        <v>0</v>
      </c>
      <c r="AT28" s="17"/>
      <c r="AU28" s="17">
        <v>0</v>
      </c>
      <c r="AV28" s="17"/>
      <c r="AW28" s="35">
        <f t="shared" si="5"/>
        <v>17120000</v>
      </c>
      <c r="AX28" s="17"/>
      <c r="AY28" s="81" t="s">
        <v>25</v>
      </c>
      <c r="AZ28" s="17"/>
      <c r="BA28" s="35">
        <f>5015*1000</f>
        <v>5015000</v>
      </c>
      <c r="BB28" s="17"/>
      <c r="BC28" s="35">
        <v>0</v>
      </c>
      <c r="BD28" s="17"/>
      <c r="BE28" s="35">
        <f>9575*1000</f>
        <v>9575000</v>
      </c>
      <c r="BF28" s="17"/>
      <c r="BG28" s="35">
        <f>(772+235)*1000</f>
        <v>1007000</v>
      </c>
      <c r="BH28" s="17"/>
      <c r="BI28" s="17"/>
      <c r="BJ28" s="17"/>
      <c r="BK28" s="35">
        <f t="shared" si="6"/>
        <v>15597000</v>
      </c>
      <c r="BL28" s="79"/>
    </row>
    <row r="29" spans="1:64" ht="12.75" hidden="1">
      <c r="A29" s="77" t="s">
        <v>26</v>
      </c>
      <c r="B29" s="77"/>
      <c r="C29" s="35">
        <f aca="true" t="shared" si="8" ref="C29:C76">+G29-E29</f>
        <v>0</v>
      </c>
      <c r="D29" s="35"/>
      <c r="E29" s="35">
        <v>0</v>
      </c>
      <c r="F29" s="35"/>
      <c r="G29" s="35">
        <v>0</v>
      </c>
      <c r="H29" s="35"/>
      <c r="I29" s="35">
        <f aca="true" t="shared" si="9" ref="I29:I76">M29-K29</f>
        <v>0</v>
      </c>
      <c r="J29" s="35"/>
      <c r="K29" s="35">
        <v>0</v>
      </c>
      <c r="L29" s="35"/>
      <c r="M29" s="35">
        <v>0</v>
      </c>
      <c r="N29" s="35"/>
      <c r="O29" s="35">
        <v>0</v>
      </c>
      <c r="P29" s="35"/>
      <c r="Q29" s="35">
        <v>0</v>
      </c>
      <c r="R29" s="35"/>
      <c r="S29" s="35">
        <v>0</v>
      </c>
      <c r="T29" s="35"/>
      <c r="U29" s="35">
        <f aca="true" t="shared" si="10" ref="U29:U76">SUM(O29:S29)</f>
        <v>0</v>
      </c>
      <c r="V29" s="35"/>
      <c r="W29" s="35">
        <f aca="true" t="shared" si="11" ref="W29:W92">+G29-M29-U29</f>
        <v>0</v>
      </c>
      <c r="X29" s="35"/>
      <c r="Y29" s="81" t="s">
        <v>26</v>
      </c>
      <c r="Z29" s="35"/>
      <c r="AA29" s="35">
        <v>0</v>
      </c>
      <c r="AB29" s="17"/>
      <c r="AC29" s="35">
        <v>0</v>
      </c>
      <c r="AD29" s="17"/>
      <c r="AE29" s="35">
        <v>0</v>
      </c>
      <c r="AF29" s="17"/>
      <c r="AG29" s="35">
        <f aca="true" t="shared" si="12" ref="AG29:AG92">+AA29-AC29-AE29</f>
        <v>0</v>
      </c>
      <c r="AH29" s="40"/>
      <c r="AI29" s="35">
        <v>0</v>
      </c>
      <c r="AJ29" s="40"/>
      <c r="AK29" s="35">
        <v>0</v>
      </c>
      <c r="AL29" s="17"/>
      <c r="AM29" s="35">
        <v>0</v>
      </c>
      <c r="AN29" s="17"/>
      <c r="AO29" s="35">
        <v>0</v>
      </c>
      <c r="AP29" s="17"/>
      <c r="AQ29" s="35">
        <f>+AO29+AK29-AM29+AI29+AG29</f>
        <v>0</v>
      </c>
      <c r="AR29" s="40"/>
      <c r="AS29" s="17">
        <v>0</v>
      </c>
      <c r="AT29" s="17"/>
      <c r="AU29" s="17">
        <v>0</v>
      </c>
      <c r="AV29" s="17"/>
      <c r="AW29" s="35">
        <f aca="true" t="shared" si="13" ref="AW29:AW92">+C29-I29</f>
        <v>0</v>
      </c>
      <c r="AX29" s="17"/>
      <c r="AY29" s="163" t="s">
        <v>26</v>
      </c>
      <c r="AZ29" s="164"/>
      <c r="BA29" s="165">
        <v>0</v>
      </c>
      <c r="BB29" s="164"/>
      <c r="BC29" s="165">
        <v>0</v>
      </c>
      <c r="BD29" s="164"/>
      <c r="BE29" s="165">
        <v>0</v>
      </c>
      <c r="BF29" s="164"/>
      <c r="BG29" s="165">
        <v>0</v>
      </c>
      <c r="BH29" s="164"/>
      <c r="BI29" s="164"/>
      <c r="BJ29" s="164"/>
      <c r="BK29" s="165">
        <f aca="true" t="shared" si="14" ref="BK29:BK92">SUM(BA29:BI29)</f>
        <v>0</v>
      </c>
      <c r="BL29" s="79"/>
    </row>
    <row r="30" spans="1:64" ht="12.75">
      <c r="A30" s="77" t="s">
        <v>27</v>
      </c>
      <c r="B30" s="77"/>
      <c r="C30" s="35">
        <f t="shared" si="8"/>
        <v>824129</v>
      </c>
      <c r="D30" s="35"/>
      <c r="E30" s="35">
        <v>8050797</v>
      </c>
      <c r="F30" s="35"/>
      <c r="G30" s="35">
        <v>8874926</v>
      </c>
      <c r="H30" s="35"/>
      <c r="I30" s="35">
        <f t="shared" si="9"/>
        <v>58731</v>
      </c>
      <c r="J30" s="35"/>
      <c r="K30" s="35">
        <v>146039</v>
      </c>
      <c r="L30" s="35"/>
      <c r="M30" s="35">
        <v>204770</v>
      </c>
      <c r="N30" s="35"/>
      <c r="O30" s="35">
        <v>7926497</v>
      </c>
      <c r="P30" s="35"/>
      <c r="Q30" s="35">
        <v>0</v>
      </c>
      <c r="R30" s="35"/>
      <c r="S30" s="35">
        <v>743659</v>
      </c>
      <c r="T30" s="35"/>
      <c r="U30" s="35">
        <f t="shared" si="10"/>
        <v>8670156</v>
      </c>
      <c r="V30" s="35"/>
      <c r="W30" s="35">
        <f t="shared" si="11"/>
        <v>0</v>
      </c>
      <c r="X30" s="35"/>
      <c r="Y30" s="81" t="s">
        <v>27</v>
      </c>
      <c r="Z30" s="35"/>
      <c r="AA30" s="35">
        <v>564123</v>
      </c>
      <c r="AB30" s="17"/>
      <c r="AC30" s="35">
        <f>576210-129138</f>
        <v>447072</v>
      </c>
      <c r="AD30" s="17"/>
      <c r="AE30" s="35">
        <v>129138</v>
      </c>
      <c r="AF30" s="17"/>
      <c r="AG30" s="35">
        <f t="shared" si="12"/>
        <v>-12087</v>
      </c>
      <c r="AH30" s="40"/>
      <c r="AI30" s="35">
        <v>-5983</v>
      </c>
      <c r="AJ30" s="40"/>
      <c r="AK30" s="35">
        <v>0</v>
      </c>
      <c r="AL30" s="17"/>
      <c r="AM30" s="35">
        <v>0</v>
      </c>
      <c r="AN30" s="17"/>
      <c r="AO30" s="35">
        <v>2423414</v>
      </c>
      <c r="AP30" s="17"/>
      <c r="AQ30" s="35">
        <f aca="true" t="shared" si="15" ref="AQ30:AQ92">+AO30+AK30-AM30+AI30+AG30</f>
        <v>2405344</v>
      </c>
      <c r="AR30" s="40"/>
      <c r="AS30" s="17">
        <v>0</v>
      </c>
      <c r="AT30" s="17"/>
      <c r="AU30" s="17">
        <v>0</v>
      </c>
      <c r="AV30" s="17"/>
      <c r="AW30" s="35">
        <f t="shared" si="13"/>
        <v>765398</v>
      </c>
      <c r="AX30" s="17"/>
      <c r="AY30" s="81" t="s">
        <v>27</v>
      </c>
      <c r="AZ30" s="17"/>
      <c r="BA30" s="35">
        <v>0</v>
      </c>
      <c r="BB30" s="17"/>
      <c r="BC30" s="35">
        <f>56500+62000</f>
        <v>118500</v>
      </c>
      <c r="BD30" s="17"/>
      <c r="BE30" s="35">
        <v>0</v>
      </c>
      <c r="BF30" s="17"/>
      <c r="BG30" s="35">
        <v>27539</v>
      </c>
      <c r="BH30" s="17"/>
      <c r="BI30" s="17"/>
      <c r="BJ30" s="17"/>
      <c r="BK30" s="35">
        <f t="shared" si="14"/>
        <v>146039</v>
      </c>
      <c r="BL30" s="79"/>
    </row>
    <row r="31" spans="1:64" ht="12.75">
      <c r="A31" s="77" t="s">
        <v>28</v>
      </c>
      <c r="B31" s="77"/>
      <c r="C31" s="35">
        <f t="shared" si="8"/>
        <v>31029086</v>
      </c>
      <c r="D31" s="35"/>
      <c r="E31" s="35">
        <v>197055071</v>
      </c>
      <c r="F31" s="35"/>
      <c r="G31" s="35">
        <v>228084157</v>
      </c>
      <c r="H31" s="35"/>
      <c r="I31" s="35">
        <f t="shared" si="9"/>
        <v>3907232</v>
      </c>
      <c r="J31" s="35"/>
      <c r="K31" s="35">
        <v>28189543</v>
      </c>
      <c r="L31" s="35"/>
      <c r="M31" s="35">
        <v>32096775</v>
      </c>
      <c r="N31" s="35"/>
      <c r="O31" s="35">
        <v>166566489</v>
      </c>
      <c r="P31" s="35"/>
      <c r="Q31" s="35">
        <f>500000+3065775</f>
        <v>3565775</v>
      </c>
      <c r="R31" s="35"/>
      <c r="S31" s="35">
        <v>25855118</v>
      </c>
      <c r="T31" s="35"/>
      <c r="U31" s="35">
        <f t="shared" si="10"/>
        <v>195987382</v>
      </c>
      <c r="V31" s="35"/>
      <c r="W31" s="35">
        <f t="shared" si="11"/>
        <v>0</v>
      </c>
      <c r="X31" s="35"/>
      <c r="Y31" s="81" t="s">
        <v>28</v>
      </c>
      <c r="Z31" s="35"/>
      <c r="AA31" s="35">
        <v>11788465</v>
      </c>
      <c r="AB31" s="17"/>
      <c r="AC31" s="35">
        <f>12539467-3779413</f>
        <v>8760054</v>
      </c>
      <c r="AD31" s="17"/>
      <c r="AE31" s="35">
        <v>3779413</v>
      </c>
      <c r="AF31" s="17"/>
      <c r="AG31" s="35">
        <f t="shared" si="12"/>
        <v>-751002</v>
      </c>
      <c r="AH31" s="40"/>
      <c r="AI31" s="35">
        <v>-1532075</v>
      </c>
      <c r="AJ31" s="40"/>
      <c r="AK31" s="35">
        <v>0</v>
      </c>
      <c r="AL31" s="17"/>
      <c r="AM31" s="35">
        <v>0</v>
      </c>
      <c r="AN31" s="17"/>
      <c r="AO31" s="35">
        <v>3672693</v>
      </c>
      <c r="AP31" s="17"/>
      <c r="AQ31" s="35">
        <f t="shared" si="15"/>
        <v>1389616</v>
      </c>
      <c r="AR31" s="40"/>
      <c r="AS31" s="17">
        <v>0</v>
      </c>
      <c r="AT31" s="17"/>
      <c r="AU31" s="17">
        <v>0</v>
      </c>
      <c r="AV31" s="17"/>
      <c r="AW31" s="35">
        <f t="shared" si="13"/>
        <v>27121854</v>
      </c>
      <c r="AX31" s="17"/>
      <c r="AY31" s="81" t="s">
        <v>28</v>
      </c>
      <c r="AZ31" s="17"/>
      <c r="BA31" s="35">
        <v>1356356</v>
      </c>
      <c r="BB31" s="17"/>
      <c r="BC31" s="35">
        <v>26718582</v>
      </c>
      <c r="BD31" s="17"/>
      <c r="BE31" s="35">
        <v>0</v>
      </c>
      <c r="BF31" s="17"/>
      <c r="BG31" s="35">
        <v>114605</v>
      </c>
      <c r="BH31" s="17"/>
      <c r="BI31" s="17"/>
      <c r="BJ31" s="17"/>
      <c r="BK31" s="35">
        <f t="shared" si="14"/>
        <v>28189543</v>
      </c>
      <c r="BL31" s="79"/>
    </row>
    <row r="32" spans="1:64" ht="12.75">
      <c r="A32" s="77" t="s">
        <v>29</v>
      </c>
      <c r="B32" s="77"/>
      <c r="C32" s="35">
        <f t="shared" si="8"/>
        <v>3743183</v>
      </c>
      <c r="D32" s="35"/>
      <c r="E32" s="35">
        <v>69229884</v>
      </c>
      <c r="F32" s="35"/>
      <c r="G32" s="35">
        <v>72973067</v>
      </c>
      <c r="H32" s="35"/>
      <c r="I32" s="35">
        <f t="shared" si="9"/>
        <v>3629882</v>
      </c>
      <c r="J32" s="35"/>
      <c r="K32" s="35">
        <v>42673250</v>
      </c>
      <c r="L32" s="35"/>
      <c r="M32" s="35">
        <v>46303132</v>
      </c>
      <c r="N32" s="35"/>
      <c r="O32" s="35">
        <v>38091688</v>
      </c>
      <c r="P32" s="35"/>
      <c r="Q32" s="35">
        <v>0</v>
      </c>
      <c r="R32" s="35"/>
      <c r="S32" s="35">
        <v>-11421753</v>
      </c>
      <c r="T32" s="35"/>
      <c r="U32" s="35">
        <f t="shared" si="10"/>
        <v>26669935</v>
      </c>
      <c r="V32" s="35"/>
      <c r="W32" s="35">
        <f t="shared" si="11"/>
        <v>0</v>
      </c>
      <c r="X32" s="35"/>
      <c r="Y32" s="81" t="s">
        <v>29</v>
      </c>
      <c r="Z32" s="35"/>
      <c r="AA32" s="35">
        <v>7028841</v>
      </c>
      <c r="AB32" s="17"/>
      <c r="AC32" s="35">
        <f>10315824-2422776</f>
        <v>7893048</v>
      </c>
      <c r="AD32" s="17"/>
      <c r="AE32" s="35">
        <v>2422776</v>
      </c>
      <c r="AF32" s="17"/>
      <c r="AG32" s="35">
        <f t="shared" si="12"/>
        <v>-3286983</v>
      </c>
      <c r="AH32" s="40"/>
      <c r="AI32" s="35">
        <v>-1515756</v>
      </c>
      <c r="AJ32" s="40"/>
      <c r="AK32" s="35">
        <v>0</v>
      </c>
      <c r="AL32" s="17"/>
      <c r="AM32" s="35">
        <v>0</v>
      </c>
      <c r="AN32" s="17"/>
      <c r="AO32" s="35">
        <v>49466</v>
      </c>
      <c r="AP32" s="17"/>
      <c r="AQ32" s="35">
        <f t="shared" si="15"/>
        <v>-4753273</v>
      </c>
      <c r="AR32" s="40"/>
      <c r="AS32" s="17">
        <v>0</v>
      </c>
      <c r="AT32" s="17"/>
      <c r="AU32" s="17">
        <v>0</v>
      </c>
      <c r="AV32" s="17"/>
      <c r="AW32" s="35">
        <f t="shared" si="13"/>
        <v>113301</v>
      </c>
      <c r="AX32" s="17"/>
      <c r="AY32" s="81" t="s">
        <v>29</v>
      </c>
      <c r="AZ32" s="17"/>
      <c r="BA32" s="35">
        <f>3893026+809805</f>
        <v>4702831</v>
      </c>
      <c r="BB32" s="17"/>
      <c r="BC32" s="35">
        <v>0</v>
      </c>
      <c r="BD32" s="17"/>
      <c r="BE32" s="35">
        <f>110471+37775797</f>
        <v>37886268</v>
      </c>
      <c r="BF32" s="17"/>
      <c r="BG32" s="35">
        <v>84151</v>
      </c>
      <c r="BH32" s="17"/>
      <c r="BI32" s="17"/>
      <c r="BJ32" s="17"/>
      <c r="BK32" s="35">
        <f t="shared" si="14"/>
        <v>42673250</v>
      </c>
      <c r="BL32" s="79"/>
    </row>
    <row r="33" spans="1:75" ht="12.75">
      <c r="A33" s="77" t="s">
        <v>30</v>
      </c>
      <c r="B33" s="77"/>
      <c r="C33" s="35">
        <f t="shared" si="8"/>
        <v>6303100</v>
      </c>
      <c r="D33" s="35"/>
      <c r="E33" s="35">
        <v>29822534</v>
      </c>
      <c r="F33" s="35"/>
      <c r="G33" s="35">
        <v>36125634</v>
      </c>
      <c r="H33" s="35"/>
      <c r="I33" s="35">
        <f t="shared" si="9"/>
        <v>1341684</v>
      </c>
      <c r="J33" s="35"/>
      <c r="K33" s="35">
        <v>12893328</v>
      </c>
      <c r="L33" s="35"/>
      <c r="M33" s="35">
        <v>14235012</v>
      </c>
      <c r="N33" s="35"/>
      <c r="O33" s="35">
        <v>17852641</v>
      </c>
      <c r="P33" s="35"/>
      <c r="Q33" s="35">
        <v>0</v>
      </c>
      <c r="R33" s="35"/>
      <c r="S33" s="35">
        <v>4037981</v>
      </c>
      <c r="T33" s="35"/>
      <c r="U33" s="35">
        <f t="shared" si="10"/>
        <v>21890622</v>
      </c>
      <c r="V33" s="35"/>
      <c r="W33" s="35">
        <f t="shared" si="11"/>
        <v>0</v>
      </c>
      <c r="X33" s="35"/>
      <c r="Y33" s="81" t="s">
        <v>30</v>
      </c>
      <c r="Z33" s="35"/>
      <c r="AA33" s="35">
        <v>3367126</v>
      </c>
      <c r="AB33" s="17"/>
      <c r="AC33" s="35">
        <f>2504882-839022</f>
        <v>1665860</v>
      </c>
      <c r="AD33" s="17"/>
      <c r="AE33" s="35">
        <v>839022</v>
      </c>
      <c r="AF33" s="17"/>
      <c r="AG33" s="35">
        <f t="shared" si="12"/>
        <v>862244</v>
      </c>
      <c r="AH33" s="40"/>
      <c r="AI33" s="35">
        <v>-512462</v>
      </c>
      <c r="AJ33" s="40"/>
      <c r="AK33" s="35">
        <v>0</v>
      </c>
      <c r="AL33" s="17"/>
      <c r="AM33" s="35">
        <v>0</v>
      </c>
      <c r="AN33" s="17"/>
      <c r="AO33" s="35">
        <v>67950</v>
      </c>
      <c r="AP33" s="17"/>
      <c r="AQ33" s="35">
        <f t="shared" si="15"/>
        <v>417732</v>
      </c>
      <c r="AR33" s="40"/>
      <c r="AS33" s="17">
        <v>0</v>
      </c>
      <c r="AT33" s="17"/>
      <c r="AU33" s="17">
        <v>0</v>
      </c>
      <c r="AV33" s="17"/>
      <c r="AW33" s="35">
        <f t="shared" si="13"/>
        <v>4961416</v>
      </c>
      <c r="AX33" s="17"/>
      <c r="AY33" s="81" t="s">
        <v>30</v>
      </c>
      <c r="AZ33" s="17"/>
      <c r="BA33" s="35">
        <v>12070920</v>
      </c>
      <c r="BB33" s="17"/>
      <c r="BC33" s="35">
        <v>0</v>
      </c>
      <c r="BD33" s="17"/>
      <c r="BE33" s="35">
        <f>560540+53485</f>
        <v>614025</v>
      </c>
      <c r="BF33" s="17"/>
      <c r="BG33" s="35">
        <f>164891+37385+6107</f>
        <v>208383</v>
      </c>
      <c r="BH33" s="17"/>
      <c r="BI33" s="17"/>
      <c r="BJ33" s="17"/>
      <c r="BK33" s="35">
        <f t="shared" si="14"/>
        <v>12893328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</row>
    <row r="34" spans="1:64" ht="12.75" hidden="1">
      <c r="A34" s="77" t="s">
        <v>239</v>
      </c>
      <c r="B34" s="77"/>
      <c r="C34" s="35">
        <f t="shared" si="8"/>
        <v>0</v>
      </c>
      <c r="D34" s="35"/>
      <c r="E34" s="35">
        <v>0</v>
      </c>
      <c r="F34" s="35"/>
      <c r="G34" s="35">
        <v>0</v>
      </c>
      <c r="H34" s="35"/>
      <c r="I34" s="35">
        <f t="shared" si="9"/>
        <v>0</v>
      </c>
      <c r="J34" s="35"/>
      <c r="K34" s="35">
        <v>0</v>
      </c>
      <c r="L34" s="35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5">
        <f t="shared" si="10"/>
        <v>0</v>
      </c>
      <c r="V34" s="35"/>
      <c r="W34" s="35">
        <f t="shared" si="11"/>
        <v>0</v>
      </c>
      <c r="X34" s="35"/>
      <c r="Y34" s="81" t="s">
        <v>239</v>
      </c>
      <c r="Z34" s="35"/>
      <c r="AA34" s="35">
        <v>0</v>
      </c>
      <c r="AB34" s="17"/>
      <c r="AC34" s="35">
        <v>0</v>
      </c>
      <c r="AD34" s="17"/>
      <c r="AE34" s="35">
        <v>0</v>
      </c>
      <c r="AF34" s="17"/>
      <c r="AG34" s="35">
        <f t="shared" si="12"/>
        <v>0</v>
      </c>
      <c r="AH34" s="40"/>
      <c r="AI34" s="35">
        <v>0</v>
      </c>
      <c r="AJ34" s="40"/>
      <c r="AK34" s="35">
        <v>0</v>
      </c>
      <c r="AL34" s="17"/>
      <c r="AM34" s="35">
        <v>0</v>
      </c>
      <c r="AN34" s="17"/>
      <c r="AO34" s="35">
        <v>0</v>
      </c>
      <c r="AP34" s="17"/>
      <c r="AQ34" s="35">
        <f t="shared" si="15"/>
        <v>0</v>
      </c>
      <c r="AR34" s="40"/>
      <c r="AS34" s="17">
        <v>0</v>
      </c>
      <c r="AT34" s="17"/>
      <c r="AU34" s="17">
        <v>0</v>
      </c>
      <c r="AV34" s="17"/>
      <c r="AW34" s="35">
        <f t="shared" si="13"/>
        <v>0</v>
      </c>
      <c r="AX34" s="35"/>
      <c r="AY34" s="81" t="s">
        <v>239</v>
      </c>
      <c r="AZ34" s="35"/>
      <c r="BA34" s="35">
        <v>0</v>
      </c>
      <c r="BB34" s="17"/>
      <c r="BC34" s="35">
        <v>0</v>
      </c>
      <c r="BD34" s="17"/>
      <c r="BE34" s="35">
        <v>0</v>
      </c>
      <c r="BF34" s="17"/>
      <c r="BG34" s="35">
        <v>0</v>
      </c>
      <c r="BH34" s="17"/>
      <c r="BI34" s="17"/>
      <c r="BJ34" s="17"/>
      <c r="BK34" s="35">
        <f t="shared" si="14"/>
        <v>0</v>
      </c>
      <c r="BL34" s="79"/>
    </row>
    <row r="35" spans="1:64" ht="12.75" hidden="1">
      <c r="A35" s="77" t="s">
        <v>32</v>
      </c>
      <c r="B35" s="77"/>
      <c r="C35" s="35">
        <f t="shared" si="8"/>
        <v>0</v>
      </c>
      <c r="D35" s="35"/>
      <c r="E35" s="35">
        <v>0</v>
      </c>
      <c r="F35" s="35"/>
      <c r="G35" s="35">
        <v>0</v>
      </c>
      <c r="H35" s="35"/>
      <c r="I35" s="35">
        <f t="shared" si="9"/>
        <v>0</v>
      </c>
      <c r="J35" s="35"/>
      <c r="K35" s="35">
        <v>0</v>
      </c>
      <c r="L35" s="35"/>
      <c r="M35" s="35">
        <v>0</v>
      </c>
      <c r="N35" s="35"/>
      <c r="O35" s="35">
        <v>0</v>
      </c>
      <c r="P35" s="35"/>
      <c r="Q35" s="35">
        <v>0</v>
      </c>
      <c r="R35" s="35"/>
      <c r="S35" s="35">
        <v>0</v>
      </c>
      <c r="T35" s="35"/>
      <c r="U35" s="35">
        <f t="shared" si="10"/>
        <v>0</v>
      </c>
      <c r="V35" s="35"/>
      <c r="W35" s="35">
        <f t="shared" si="11"/>
        <v>0</v>
      </c>
      <c r="X35" s="35"/>
      <c r="Y35" s="81" t="s">
        <v>32</v>
      </c>
      <c r="Z35" s="35"/>
      <c r="AA35" s="35">
        <v>0</v>
      </c>
      <c r="AB35" s="17"/>
      <c r="AC35" s="35">
        <v>0</v>
      </c>
      <c r="AD35" s="17"/>
      <c r="AE35" s="35">
        <v>0</v>
      </c>
      <c r="AF35" s="17"/>
      <c r="AG35" s="35">
        <f t="shared" si="12"/>
        <v>0</v>
      </c>
      <c r="AH35" s="40"/>
      <c r="AI35" s="35">
        <v>0</v>
      </c>
      <c r="AJ35" s="40"/>
      <c r="AK35" s="35">
        <v>0</v>
      </c>
      <c r="AL35" s="17"/>
      <c r="AM35" s="35">
        <v>0</v>
      </c>
      <c r="AN35" s="17"/>
      <c r="AO35" s="35">
        <v>0</v>
      </c>
      <c r="AP35" s="17"/>
      <c r="AQ35" s="35">
        <f t="shared" si="15"/>
        <v>0</v>
      </c>
      <c r="AR35" s="40"/>
      <c r="AS35" s="17">
        <v>0</v>
      </c>
      <c r="AT35" s="17"/>
      <c r="AU35" s="17">
        <v>0</v>
      </c>
      <c r="AV35" s="17"/>
      <c r="AW35" s="35">
        <f t="shared" si="13"/>
        <v>0</v>
      </c>
      <c r="AX35" s="35"/>
      <c r="AY35" s="81" t="s">
        <v>32</v>
      </c>
      <c r="AZ35" s="35"/>
      <c r="BA35" s="35">
        <v>0</v>
      </c>
      <c r="BB35" s="17"/>
      <c r="BC35" s="35">
        <v>0</v>
      </c>
      <c r="BD35" s="17"/>
      <c r="BE35" s="35">
        <v>0</v>
      </c>
      <c r="BF35" s="17"/>
      <c r="BG35" s="35">
        <v>0</v>
      </c>
      <c r="BH35" s="17"/>
      <c r="BI35" s="17"/>
      <c r="BJ35" s="17"/>
      <c r="BK35" s="35">
        <f t="shared" si="14"/>
        <v>0</v>
      </c>
      <c r="BL35" s="79"/>
    </row>
    <row r="36" spans="1:64" ht="12.75">
      <c r="A36" s="77" t="s">
        <v>33</v>
      </c>
      <c r="B36" s="77"/>
      <c r="C36" s="35">
        <f t="shared" si="8"/>
        <v>1269884</v>
      </c>
      <c r="D36" s="35"/>
      <c r="E36" s="35">
        <v>5846908</v>
      </c>
      <c r="F36" s="35"/>
      <c r="G36" s="35">
        <v>7116792</v>
      </c>
      <c r="H36" s="35"/>
      <c r="I36" s="35">
        <f t="shared" si="9"/>
        <v>242475</v>
      </c>
      <c r="J36" s="35"/>
      <c r="K36" s="35">
        <v>715399</v>
      </c>
      <c r="L36" s="35"/>
      <c r="M36" s="35">
        <v>957874</v>
      </c>
      <c r="N36" s="35"/>
      <c r="O36" s="35">
        <v>5193418</v>
      </c>
      <c r="P36" s="35"/>
      <c r="Q36" s="35">
        <v>0</v>
      </c>
      <c r="R36" s="35"/>
      <c r="S36" s="35">
        <v>965500</v>
      </c>
      <c r="T36" s="35"/>
      <c r="U36" s="35">
        <f t="shared" si="10"/>
        <v>6158918</v>
      </c>
      <c r="V36" s="35"/>
      <c r="W36" s="35">
        <f t="shared" si="11"/>
        <v>0</v>
      </c>
      <c r="X36" s="35"/>
      <c r="Y36" s="81" t="s">
        <v>33</v>
      </c>
      <c r="Z36" s="35"/>
      <c r="AA36" s="35">
        <v>384010</v>
      </c>
      <c r="AB36" s="17"/>
      <c r="AC36" s="35">
        <f>415298-161459</f>
        <v>253839</v>
      </c>
      <c r="AD36" s="17"/>
      <c r="AE36" s="35">
        <v>161459</v>
      </c>
      <c r="AF36" s="17"/>
      <c r="AG36" s="35">
        <f t="shared" si="12"/>
        <v>-31288</v>
      </c>
      <c r="AH36" s="40"/>
      <c r="AI36" s="35">
        <v>-34897</v>
      </c>
      <c r="AJ36" s="40"/>
      <c r="AK36" s="35">
        <v>0</v>
      </c>
      <c r="AL36" s="17"/>
      <c r="AM36" s="35">
        <v>0</v>
      </c>
      <c r="AN36" s="17"/>
      <c r="AO36" s="35">
        <v>209723</v>
      </c>
      <c r="AP36" s="17"/>
      <c r="AQ36" s="35">
        <f t="shared" si="15"/>
        <v>143538</v>
      </c>
      <c r="AR36" s="40"/>
      <c r="AS36" s="17">
        <v>0</v>
      </c>
      <c r="AT36" s="17"/>
      <c r="AU36" s="17">
        <v>0</v>
      </c>
      <c r="AV36" s="17"/>
      <c r="AW36" s="35">
        <f t="shared" si="13"/>
        <v>1027409</v>
      </c>
      <c r="AX36" s="17"/>
      <c r="AY36" s="81" t="s">
        <v>33</v>
      </c>
      <c r="AZ36" s="17"/>
      <c r="BA36" s="35">
        <f>345527</f>
        <v>345527</v>
      </c>
      <c r="BB36" s="17"/>
      <c r="BC36" s="35">
        <v>0</v>
      </c>
      <c r="BD36" s="17"/>
      <c r="BE36" s="35">
        <f>330505+33965</f>
        <v>364470</v>
      </c>
      <c r="BF36" s="17"/>
      <c r="BG36" s="35">
        <f>5402</f>
        <v>5402</v>
      </c>
      <c r="BH36" s="17"/>
      <c r="BI36" s="17"/>
      <c r="BJ36" s="17"/>
      <c r="BK36" s="35">
        <f t="shared" si="14"/>
        <v>715399</v>
      </c>
      <c r="BL36" s="79"/>
    </row>
    <row r="37" spans="1:64" ht="12.75">
      <c r="A37" s="77" t="s">
        <v>34</v>
      </c>
      <c r="B37" s="77"/>
      <c r="C37" s="35">
        <f t="shared" si="8"/>
        <v>1736716</v>
      </c>
      <c r="D37" s="35"/>
      <c r="E37" s="35">
        <f>3894141+3664167+1444710</f>
        <v>9003018</v>
      </c>
      <c r="F37" s="35"/>
      <c r="G37" s="35">
        <f>5068768+4127148+1543818</f>
        <v>10739734</v>
      </c>
      <c r="H37" s="35"/>
      <c r="I37" s="35">
        <f t="shared" si="9"/>
        <v>375335</v>
      </c>
      <c r="J37" s="35"/>
      <c r="K37" s="35">
        <f>2234652+1820200+8396</f>
        <v>4063248</v>
      </c>
      <c r="L37" s="35"/>
      <c r="M37" s="35">
        <f>2441403+1915281+81899</f>
        <v>4438583</v>
      </c>
      <c r="N37" s="35"/>
      <c r="O37" s="35">
        <f>1659489+1810117+1436314</f>
        <v>4905920</v>
      </c>
      <c r="P37" s="35"/>
      <c r="Q37" s="35">
        <v>0</v>
      </c>
      <c r="R37" s="35"/>
      <c r="S37" s="35">
        <f>967876+401750+25605</f>
        <v>1395231</v>
      </c>
      <c r="T37" s="35"/>
      <c r="U37" s="35">
        <f t="shared" si="10"/>
        <v>6301151</v>
      </c>
      <c r="V37" s="35"/>
      <c r="W37" s="35">
        <f t="shared" si="11"/>
        <v>0</v>
      </c>
      <c r="X37" s="35"/>
      <c r="Y37" s="81" t="s">
        <v>34</v>
      </c>
      <c r="Z37" s="35"/>
      <c r="AA37" s="35">
        <f>172290+820</f>
        <v>173110</v>
      </c>
      <c r="AB37" s="17"/>
      <c r="AC37" s="35">
        <f>226425+52-133318</f>
        <v>93159</v>
      </c>
      <c r="AD37" s="17"/>
      <c r="AE37" s="35">
        <v>133318</v>
      </c>
      <c r="AF37" s="17"/>
      <c r="AG37" s="35">
        <f t="shared" si="12"/>
        <v>-53367</v>
      </c>
      <c r="AH37" s="40"/>
      <c r="AI37" s="35">
        <f>1576-61857</f>
        <v>-60281</v>
      </c>
      <c r="AJ37" s="40"/>
      <c r="AK37" s="35">
        <v>0</v>
      </c>
      <c r="AL37" s="17"/>
      <c r="AM37" s="35">
        <v>0</v>
      </c>
      <c r="AN37" s="17"/>
      <c r="AO37" s="35">
        <f>172606+900419</f>
        <v>1073025</v>
      </c>
      <c r="AP37" s="17"/>
      <c r="AQ37" s="35">
        <f t="shared" si="15"/>
        <v>959377</v>
      </c>
      <c r="AR37" s="40"/>
      <c r="AS37" s="17">
        <v>0</v>
      </c>
      <c r="AT37" s="17"/>
      <c r="AU37" s="17">
        <v>0</v>
      </c>
      <c r="AV37" s="17"/>
      <c r="AW37" s="35">
        <f t="shared" si="13"/>
        <v>1361381</v>
      </c>
      <c r="AX37" s="17"/>
      <c r="AY37" s="81" t="s">
        <v>34</v>
      </c>
      <c r="AZ37" s="17"/>
      <c r="BA37" s="35">
        <v>1693700</v>
      </c>
      <c r="BB37" s="17"/>
      <c r="BC37" s="35">
        <v>0</v>
      </c>
      <c r="BD37" s="17"/>
      <c r="BE37" s="35">
        <f>2234652+8396+126500</f>
        <v>2369548</v>
      </c>
      <c r="BF37" s="17"/>
      <c r="BG37" s="35">
        <v>0</v>
      </c>
      <c r="BH37" s="17"/>
      <c r="BI37" s="17"/>
      <c r="BJ37" s="17"/>
      <c r="BK37" s="35">
        <f t="shared" si="14"/>
        <v>4063248</v>
      </c>
      <c r="BL37" s="79"/>
    </row>
    <row r="38" spans="1:64" ht="12.75" hidden="1">
      <c r="A38" s="77" t="s">
        <v>35</v>
      </c>
      <c r="B38" s="77"/>
      <c r="C38" s="35">
        <f t="shared" si="8"/>
        <v>0</v>
      </c>
      <c r="D38" s="35"/>
      <c r="E38" s="35">
        <v>0</v>
      </c>
      <c r="F38" s="35"/>
      <c r="G38" s="35">
        <v>0</v>
      </c>
      <c r="H38" s="35"/>
      <c r="I38" s="35">
        <f t="shared" si="9"/>
        <v>0</v>
      </c>
      <c r="J38" s="35"/>
      <c r="K38" s="35">
        <v>0</v>
      </c>
      <c r="L38" s="35"/>
      <c r="M38" s="35"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5">
        <f t="shared" si="10"/>
        <v>0</v>
      </c>
      <c r="V38" s="35"/>
      <c r="W38" s="35">
        <f t="shared" si="11"/>
        <v>0</v>
      </c>
      <c r="X38" s="35"/>
      <c r="Y38" s="81" t="s">
        <v>35</v>
      </c>
      <c r="Z38" s="35"/>
      <c r="AA38" s="35">
        <v>0</v>
      </c>
      <c r="AB38" s="17"/>
      <c r="AC38" s="35">
        <v>0</v>
      </c>
      <c r="AD38" s="17"/>
      <c r="AE38" s="35">
        <v>0</v>
      </c>
      <c r="AF38" s="17"/>
      <c r="AG38" s="35">
        <f t="shared" si="12"/>
        <v>0</v>
      </c>
      <c r="AH38" s="40"/>
      <c r="AI38" s="35">
        <v>0</v>
      </c>
      <c r="AJ38" s="40"/>
      <c r="AK38" s="35">
        <v>0</v>
      </c>
      <c r="AL38" s="17"/>
      <c r="AM38" s="35">
        <v>0</v>
      </c>
      <c r="AN38" s="17"/>
      <c r="AO38" s="35">
        <v>0</v>
      </c>
      <c r="AP38" s="17"/>
      <c r="AQ38" s="35">
        <f t="shared" si="15"/>
        <v>0</v>
      </c>
      <c r="AR38" s="40"/>
      <c r="AS38" s="17">
        <v>0</v>
      </c>
      <c r="AT38" s="17"/>
      <c r="AU38" s="17">
        <v>0</v>
      </c>
      <c r="AV38" s="17"/>
      <c r="AW38" s="35">
        <f t="shared" si="13"/>
        <v>0</v>
      </c>
      <c r="AX38" s="35"/>
      <c r="AY38" s="81" t="s">
        <v>35</v>
      </c>
      <c r="AZ38" s="35"/>
      <c r="BA38" s="35">
        <v>0</v>
      </c>
      <c r="BB38" s="17"/>
      <c r="BC38" s="35">
        <v>0</v>
      </c>
      <c r="BD38" s="17"/>
      <c r="BE38" s="35">
        <v>0</v>
      </c>
      <c r="BF38" s="17"/>
      <c r="BG38" s="35">
        <v>0</v>
      </c>
      <c r="BH38" s="17"/>
      <c r="BI38" s="17"/>
      <c r="BJ38" s="17"/>
      <c r="BK38" s="35">
        <f t="shared" si="14"/>
        <v>0</v>
      </c>
      <c r="BL38" s="79"/>
    </row>
    <row r="39" spans="1:64" ht="12.75">
      <c r="A39" s="77" t="s">
        <v>182</v>
      </c>
      <c r="B39" s="77"/>
      <c r="C39" s="35">
        <f t="shared" si="8"/>
        <v>0</v>
      </c>
      <c r="D39" s="35"/>
      <c r="E39" s="35">
        <v>202571675</v>
      </c>
      <c r="F39" s="35"/>
      <c r="G39" s="35">
        <v>202571675</v>
      </c>
      <c r="H39" s="35"/>
      <c r="I39" s="35">
        <f t="shared" si="9"/>
        <v>11507939</v>
      </c>
      <c r="J39" s="35"/>
      <c r="K39" s="35">
        <v>148612210</v>
      </c>
      <c r="L39" s="35"/>
      <c r="M39" s="35">
        <v>160120149</v>
      </c>
      <c r="N39" s="35"/>
      <c r="O39" s="35">
        <v>48132493</v>
      </c>
      <c r="P39" s="35"/>
      <c r="Q39" s="35">
        <v>1141577</v>
      </c>
      <c r="R39" s="35"/>
      <c r="S39" s="35">
        <v>16157946</v>
      </c>
      <c r="T39" s="35"/>
      <c r="U39" s="35">
        <f t="shared" si="10"/>
        <v>65432016</v>
      </c>
      <c r="V39" s="35"/>
      <c r="W39" s="35">
        <f t="shared" si="11"/>
        <v>-22980490</v>
      </c>
      <c r="X39" s="35"/>
      <c r="Y39" s="81" t="s">
        <v>182</v>
      </c>
      <c r="Z39" s="35"/>
      <c r="AA39" s="35">
        <v>15598433</v>
      </c>
      <c r="AB39" s="17"/>
      <c r="AC39" s="35">
        <f>10807007-4002706</f>
        <v>6804301</v>
      </c>
      <c r="AD39" s="17"/>
      <c r="AE39" s="35">
        <v>4002706</v>
      </c>
      <c r="AF39" s="17"/>
      <c r="AG39" s="35">
        <f t="shared" si="12"/>
        <v>4791426</v>
      </c>
      <c r="AH39" s="40"/>
      <c r="AI39" s="35">
        <f>-5076230</f>
        <v>-5076230</v>
      </c>
      <c r="AJ39" s="40"/>
      <c r="AK39" s="35">
        <v>47500</v>
      </c>
      <c r="AL39" s="17"/>
      <c r="AM39" s="35">
        <v>23435</v>
      </c>
      <c r="AN39" s="17"/>
      <c r="AO39" s="35">
        <v>234995</v>
      </c>
      <c r="AP39" s="17"/>
      <c r="AQ39" s="35">
        <f t="shared" si="15"/>
        <v>-25744</v>
      </c>
      <c r="AR39" s="40"/>
      <c r="AS39" s="17">
        <v>0</v>
      </c>
      <c r="AT39" s="17"/>
      <c r="AU39" s="17">
        <v>0</v>
      </c>
      <c r="AV39" s="17"/>
      <c r="AW39" s="35">
        <f t="shared" si="13"/>
        <v>-11507939</v>
      </c>
      <c r="AX39" s="17"/>
      <c r="AY39" s="81" t="s">
        <v>182</v>
      </c>
      <c r="AZ39" s="17"/>
      <c r="BA39" s="35">
        <f>11759735+1812994</f>
        <v>13572729</v>
      </c>
      <c r="BB39" s="17"/>
      <c r="BC39" s="35">
        <f>72417619</f>
        <v>72417619</v>
      </c>
      <c r="BD39" s="17"/>
      <c r="BE39" s="35">
        <f>52766527+9855335</f>
        <v>62621862</v>
      </c>
      <c r="BF39" s="17"/>
      <c r="BG39" s="155">
        <v>0</v>
      </c>
      <c r="BH39" s="17"/>
      <c r="BI39" s="17"/>
      <c r="BJ39" s="17"/>
      <c r="BK39" s="35">
        <f t="shared" si="14"/>
        <v>148612210</v>
      </c>
      <c r="BL39" s="79"/>
    </row>
    <row r="40" spans="1:64" ht="12.75" hidden="1">
      <c r="A40" s="77" t="s">
        <v>244</v>
      </c>
      <c r="B40" s="77"/>
      <c r="C40" s="35">
        <f t="shared" si="8"/>
        <v>0</v>
      </c>
      <c r="D40" s="35"/>
      <c r="E40" s="24">
        <v>0</v>
      </c>
      <c r="F40" s="35"/>
      <c r="G40" s="24">
        <v>0</v>
      </c>
      <c r="H40" s="35"/>
      <c r="I40" s="35">
        <f t="shared" si="9"/>
        <v>0</v>
      </c>
      <c r="J40" s="35"/>
      <c r="K40" s="24">
        <v>0</v>
      </c>
      <c r="L40" s="35"/>
      <c r="M40" s="24">
        <v>0</v>
      </c>
      <c r="N40" s="35"/>
      <c r="O40" s="24">
        <v>0</v>
      </c>
      <c r="P40" s="35"/>
      <c r="Q40" s="24">
        <v>0</v>
      </c>
      <c r="R40" s="35"/>
      <c r="S40" s="24">
        <v>0</v>
      </c>
      <c r="T40" s="35"/>
      <c r="U40" s="35">
        <f t="shared" si="10"/>
        <v>0</v>
      </c>
      <c r="V40" s="35"/>
      <c r="W40" s="35">
        <f t="shared" si="11"/>
        <v>0</v>
      </c>
      <c r="X40" s="35"/>
      <c r="Y40" s="81" t="s">
        <v>36</v>
      </c>
      <c r="Z40" s="35"/>
      <c r="AA40" s="24">
        <v>0</v>
      </c>
      <c r="AB40" s="17"/>
      <c r="AC40" s="24">
        <v>0</v>
      </c>
      <c r="AD40" s="17"/>
      <c r="AE40" s="24">
        <v>0</v>
      </c>
      <c r="AF40" s="17"/>
      <c r="AG40" s="35">
        <f t="shared" si="12"/>
        <v>0</v>
      </c>
      <c r="AH40" s="40"/>
      <c r="AI40" s="24">
        <v>0</v>
      </c>
      <c r="AJ40" s="40"/>
      <c r="AK40" s="24">
        <v>0</v>
      </c>
      <c r="AL40" s="17"/>
      <c r="AM40" s="24">
        <v>0</v>
      </c>
      <c r="AN40" s="17"/>
      <c r="AO40" s="24">
        <v>0</v>
      </c>
      <c r="AP40" s="17"/>
      <c r="AQ40" s="35">
        <f t="shared" si="15"/>
        <v>0</v>
      </c>
      <c r="AR40" s="40"/>
      <c r="AS40" s="17">
        <v>0</v>
      </c>
      <c r="AT40" s="17"/>
      <c r="AU40" s="17">
        <v>0</v>
      </c>
      <c r="AV40" s="17"/>
      <c r="AW40" s="35">
        <f t="shared" si="13"/>
        <v>0</v>
      </c>
      <c r="AX40" s="17"/>
      <c r="AY40" s="81" t="s">
        <v>36</v>
      </c>
      <c r="AZ40" s="17"/>
      <c r="BA40" s="24">
        <v>0</v>
      </c>
      <c r="BB40" s="17"/>
      <c r="BC40" s="24">
        <v>0</v>
      </c>
      <c r="BD40" s="17"/>
      <c r="BE40" s="24">
        <v>0</v>
      </c>
      <c r="BF40" s="17"/>
      <c r="BG40" s="24">
        <v>0</v>
      </c>
      <c r="BH40" s="17"/>
      <c r="BI40" s="17"/>
      <c r="BJ40" s="17"/>
      <c r="BK40" s="35">
        <f t="shared" si="14"/>
        <v>0</v>
      </c>
      <c r="BL40" s="79"/>
    </row>
    <row r="41" spans="1:64" ht="12.75" hidden="1">
      <c r="A41" s="77" t="s">
        <v>37</v>
      </c>
      <c r="B41" s="77"/>
      <c r="C41" s="35">
        <f t="shared" si="8"/>
        <v>0</v>
      </c>
      <c r="D41" s="35"/>
      <c r="E41" s="24">
        <v>0</v>
      </c>
      <c r="F41" s="35"/>
      <c r="G41" s="24">
        <v>0</v>
      </c>
      <c r="H41" s="35"/>
      <c r="I41" s="35">
        <f t="shared" si="9"/>
        <v>0</v>
      </c>
      <c r="J41" s="35"/>
      <c r="K41" s="24">
        <v>0</v>
      </c>
      <c r="L41" s="35"/>
      <c r="M41" s="24">
        <v>0</v>
      </c>
      <c r="N41" s="35"/>
      <c r="O41" s="24">
        <v>0</v>
      </c>
      <c r="P41" s="35"/>
      <c r="Q41" s="24">
        <v>0</v>
      </c>
      <c r="R41" s="35"/>
      <c r="S41" s="24">
        <v>0</v>
      </c>
      <c r="T41" s="35"/>
      <c r="U41" s="35">
        <f t="shared" si="10"/>
        <v>0</v>
      </c>
      <c r="V41" s="35"/>
      <c r="W41" s="35">
        <f t="shared" si="11"/>
        <v>0</v>
      </c>
      <c r="X41" s="35"/>
      <c r="Y41" s="81" t="s">
        <v>37</v>
      </c>
      <c r="Z41" s="35"/>
      <c r="AA41" s="24">
        <v>0</v>
      </c>
      <c r="AB41" s="17"/>
      <c r="AC41" s="24">
        <v>0</v>
      </c>
      <c r="AD41" s="17"/>
      <c r="AE41" s="24">
        <v>0</v>
      </c>
      <c r="AF41" s="17"/>
      <c r="AG41" s="35">
        <f t="shared" si="12"/>
        <v>0</v>
      </c>
      <c r="AH41" s="40"/>
      <c r="AI41" s="24">
        <v>0</v>
      </c>
      <c r="AJ41" s="40"/>
      <c r="AK41" s="24">
        <v>0</v>
      </c>
      <c r="AL41" s="17"/>
      <c r="AM41" s="24">
        <v>0</v>
      </c>
      <c r="AN41" s="17"/>
      <c r="AO41" s="24">
        <v>0</v>
      </c>
      <c r="AP41" s="17"/>
      <c r="AQ41" s="35">
        <f t="shared" si="15"/>
        <v>0</v>
      </c>
      <c r="AR41" s="40"/>
      <c r="AS41" s="17">
        <v>0</v>
      </c>
      <c r="AT41" s="17"/>
      <c r="AU41" s="17">
        <v>0</v>
      </c>
      <c r="AV41" s="17"/>
      <c r="AW41" s="35">
        <f t="shared" si="13"/>
        <v>0</v>
      </c>
      <c r="AX41" s="35"/>
      <c r="AY41" s="81" t="s">
        <v>37</v>
      </c>
      <c r="AZ41" s="35"/>
      <c r="BA41" s="24">
        <v>0</v>
      </c>
      <c r="BB41" s="17"/>
      <c r="BC41" s="24">
        <v>0</v>
      </c>
      <c r="BD41" s="17"/>
      <c r="BE41" s="24">
        <v>0</v>
      </c>
      <c r="BF41" s="17"/>
      <c r="BG41" s="24">
        <v>0</v>
      </c>
      <c r="BH41" s="17"/>
      <c r="BI41" s="17"/>
      <c r="BJ41" s="17"/>
      <c r="BK41" s="35">
        <f t="shared" si="14"/>
        <v>0</v>
      </c>
      <c r="BL41" s="79"/>
    </row>
    <row r="42" spans="1:64" ht="12.75" hidden="1">
      <c r="A42" s="77" t="s">
        <v>38</v>
      </c>
      <c r="B42" s="77"/>
      <c r="C42" s="35">
        <f t="shared" si="8"/>
        <v>0</v>
      </c>
      <c r="D42" s="35"/>
      <c r="E42" s="24">
        <v>0</v>
      </c>
      <c r="F42" s="35"/>
      <c r="G42" s="24">
        <v>0</v>
      </c>
      <c r="H42" s="35"/>
      <c r="I42" s="35">
        <f t="shared" si="9"/>
        <v>0</v>
      </c>
      <c r="J42" s="35"/>
      <c r="K42" s="24">
        <v>0</v>
      </c>
      <c r="L42" s="35"/>
      <c r="M42" s="24">
        <v>0</v>
      </c>
      <c r="N42" s="35"/>
      <c r="O42" s="24">
        <v>0</v>
      </c>
      <c r="P42" s="35"/>
      <c r="Q42" s="24">
        <v>0</v>
      </c>
      <c r="R42" s="35"/>
      <c r="S42" s="24">
        <v>0</v>
      </c>
      <c r="T42" s="35"/>
      <c r="U42" s="35">
        <f t="shared" si="10"/>
        <v>0</v>
      </c>
      <c r="V42" s="35"/>
      <c r="W42" s="35">
        <f t="shared" si="11"/>
        <v>0</v>
      </c>
      <c r="X42" s="35"/>
      <c r="Y42" s="81" t="s">
        <v>38</v>
      </c>
      <c r="Z42" s="35"/>
      <c r="AA42" s="24">
        <v>0</v>
      </c>
      <c r="AB42" s="17"/>
      <c r="AC42" s="24">
        <v>0</v>
      </c>
      <c r="AD42" s="17"/>
      <c r="AE42" s="24">
        <v>0</v>
      </c>
      <c r="AF42" s="17"/>
      <c r="AG42" s="35">
        <f t="shared" si="12"/>
        <v>0</v>
      </c>
      <c r="AH42" s="40"/>
      <c r="AI42" s="24">
        <v>0</v>
      </c>
      <c r="AJ42" s="40"/>
      <c r="AK42" s="24">
        <v>0</v>
      </c>
      <c r="AL42" s="17"/>
      <c r="AM42" s="24">
        <v>0</v>
      </c>
      <c r="AN42" s="17"/>
      <c r="AO42" s="24">
        <v>0</v>
      </c>
      <c r="AP42" s="17"/>
      <c r="AQ42" s="35">
        <f t="shared" si="15"/>
        <v>0</v>
      </c>
      <c r="AR42" s="40"/>
      <c r="AS42" s="17">
        <v>0</v>
      </c>
      <c r="AT42" s="17"/>
      <c r="AU42" s="17">
        <v>0</v>
      </c>
      <c r="AV42" s="17"/>
      <c r="AW42" s="35">
        <f t="shared" si="13"/>
        <v>0</v>
      </c>
      <c r="AX42" s="17"/>
      <c r="AY42" s="81" t="s">
        <v>38</v>
      </c>
      <c r="AZ42" s="17"/>
      <c r="BA42" s="24">
        <v>0</v>
      </c>
      <c r="BB42" s="17"/>
      <c r="BC42" s="24">
        <v>0</v>
      </c>
      <c r="BD42" s="17"/>
      <c r="BE42" s="24">
        <v>0</v>
      </c>
      <c r="BF42" s="17"/>
      <c r="BG42" s="24">
        <v>0</v>
      </c>
      <c r="BH42" s="17"/>
      <c r="BI42" s="17"/>
      <c r="BJ42" s="17"/>
      <c r="BK42" s="35">
        <f t="shared" si="14"/>
        <v>0</v>
      </c>
      <c r="BL42" s="79"/>
    </row>
    <row r="43" spans="1:64" ht="12.75" hidden="1">
      <c r="A43" s="77" t="s">
        <v>168</v>
      </c>
      <c r="B43" s="77"/>
      <c r="C43" s="35">
        <f t="shared" si="8"/>
        <v>0</v>
      </c>
      <c r="D43" s="35"/>
      <c r="E43" s="24">
        <v>0</v>
      </c>
      <c r="F43" s="35"/>
      <c r="G43" s="24">
        <v>0</v>
      </c>
      <c r="H43" s="35"/>
      <c r="I43" s="35">
        <f t="shared" si="9"/>
        <v>0</v>
      </c>
      <c r="J43" s="35"/>
      <c r="K43" s="24">
        <v>0</v>
      </c>
      <c r="L43" s="35"/>
      <c r="M43" s="24">
        <v>0</v>
      </c>
      <c r="N43" s="35"/>
      <c r="O43" s="24">
        <v>0</v>
      </c>
      <c r="P43" s="35"/>
      <c r="Q43" s="24">
        <v>0</v>
      </c>
      <c r="R43" s="35"/>
      <c r="S43" s="24">
        <v>0</v>
      </c>
      <c r="T43" s="35"/>
      <c r="U43" s="35">
        <f t="shared" si="10"/>
        <v>0</v>
      </c>
      <c r="V43" s="35"/>
      <c r="W43" s="35">
        <f t="shared" si="11"/>
        <v>0</v>
      </c>
      <c r="X43" s="35"/>
      <c r="Y43" s="81" t="s">
        <v>168</v>
      </c>
      <c r="Z43" s="35"/>
      <c r="AA43" s="24">
        <v>0</v>
      </c>
      <c r="AB43" s="17"/>
      <c r="AC43" s="24">
        <v>0</v>
      </c>
      <c r="AD43" s="17"/>
      <c r="AE43" s="24">
        <v>0</v>
      </c>
      <c r="AF43" s="17"/>
      <c r="AG43" s="35">
        <f t="shared" si="12"/>
        <v>0</v>
      </c>
      <c r="AH43" s="40"/>
      <c r="AI43" s="24">
        <v>0</v>
      </c>
      <c r="AJ43" s="40"/>
      <c r="AK43" s="24">
        <v>0</v>
      </c>
      <c r="AL43" s="17"/>
      <c r="AM43" s="24">
        <v>0</v>
      </c>
      <c r="AN43" s="17"/>
      <c r="AO43" s="24">
        <v>0</v>
      </c>
      <c r="AP43" s="17"/>
      <c r="AQ43" s="35">
        <f t="shared" si="15"/>
        <v>0</v>
      </c>
      <c r="AR43" s="40"/>
      <c r="AS43" s="17">
        <v>0</v>
      </c>
      <c r="AT43" s="17"/>
      <c r="AU43" s="17">
        <v>0</v>
      </c>
      <c r="AV43" s="17"/>
      <c r="AW43" s="35">
        <f t="shared" si="13"/>
        <v>0</v>
      </c>
      <c r="AX43" s="35"/>
      <c r="AY43" s="81" t="s">
        <v>168</v>
      </c>
      <c r="AZ43" s="35"/>
      <c r="BA43" s="24">
        <v>0</v>
      </c>
      <c r="BB43" s="17"/>
      <c r="BC43" s="24">
        <v>0</v>
      </c>
      <c r="BD43" s="17"/>
      <c r="BE43" s="24">
        <v>0</v>
      </c>
      <c r="BF43" s="17"/>
      <c r="BG43" s="24">
        <v>0</v>
      </c>
      <c r="BH43" s="17"/>
      <c r="BI43" s="17"/>
      <c r="BJ43" s="17"/>
      <c r="BK43" s="35">
        <f t="shared" si="14"/>
        <v>0</v>
      </c>
      <c r="BL43" s="79"/>
    </row>
    <row r="44" spans="1:64" ht="12.75" hidden="1">
      <c r="A44" s="77" t="s">
        <v>39</v>
      </c>
      <c r="B44" s="77"/>
      <c r="C44" s="35">
        <f t="shared" si="8"/>
        <v>0</v>
      </c>
      <c r="D44" s="35"/>
      <c r="E44" s="24">
        <v>0</v>
      </c>
      <c r="F44" s="35"/>
      <c r="G44" s="24">
        <v>0</v>
      </c>
      <c r="H44" s="35"/>
      <c r="I44" s="35">
        <f t="shared" si="9"/>
        <v>0</v>
      </c>
      <c r="J44" s="35"/>
      <c r="K44" s="24">
        <v>0</v>
      </c>
      <c r="L44" s="35"/>
      <c r="M44" s="24">
        <v>0</v>
      </c>
      <c r="N44" s="35"/>
      <c r="O44" s="24">
        <v>0</v>
      </c>
      <c r="P44" s="35"/>
      <c r="Q44" s="24">
        <v>0</v>
      </c>
      <c r="R44" s="35"/>
      <c r="S44" s="24">
        <v>0</v>
      </c>
      <c r="T44" s="35"/>
      <c r="U44" s="35">
        <f t="shared" si="10"/>
        <v>0</v>
      </c>
      <c r="V44" s="35"/>
      <c r="W44" s="35">
        <f t="shared" si="11"/>
        <v>0</v>
      </c>
      <c r="X44" s="35"/>
      <c r="Y44" s="81" t="s">
        <v>39</v>
      </c>
      <c r="Z44" s="35"/>
      <c r="AA44" s="24">
        <v>0</v>
      </c>
      <c r="AB44" s="17"/>
      <c r="AC44" s="24">
        <v>0</v>
      </c>
      <c r="AD44" s="17"/>
      <c r="AE44" s="24">
        <v>0</v>
      </c>
      <c r="AF44" s="17"/>
      <c r="AG44" s="35">
        <f t="shared" si="12"/>
        <v>0</v>
      </c>
      <c r="AH44" s="40"/>
      <c r="AI44" s="24">
        <v>0</v>
      </c>
      <c r="AJ44" s="40"/>
      <c r="AK44" s="24">
        <v>0</v>
      </c>
      <c r="AL44" s="17"/>
      <c r="AM44" s="24">
        <v>0</v>
      </c>
      <c r="AN44" s="17"/>
      <c r="AO44" s="24">
        <v>0</v>
      </c>
      <c r="AP44" s="17"/>
      <c r="AQ44" s="35">
        <f t="shared" si="15"/>
        <v>0</v>
      </c>
      <c r="AR44" s="40"/>
      <c r="AS44" s="17">
        <v>0</v>
      </c>
      <c r="AT44" s="17"/>
      <c r="AU44" s="17">
        <v>0</v>
      </c>
      <c r="AV44" s="17"/>
      <c r="AW44" s="35">
        <f t="shared" si="13"/>
        <v>0</v>
      </c>
      <c r="AX44" s="17"/>
      <c r="AY44" s="81" t="s">
        <v>39</v>
      </c>
      <c r="AZ44" s="17"/>
      <c r="BA44" s="24">
        <v>0</v>
      </c>
      <c r="BB44" s="17"/>
      <c r="BC44" s="24">
        <v>0</v>
      </c>
      <c r="BD44" s="17"/>
      <c r="BE44" s="24">
        <v>0</v>
      </c>
      <c r="BF44" s="17"/>
      <c r="BG44" s="24">
        <v>0</v>
      </c>
      <c r="BH44" s="17"/>
      <c r="BI44" s="17"/>
      <c r="BJ44" s="17"/>
      <c r="BK44" s="35">
        <f t="shared" si="14"/>
        <v>0</v>
      </c>
      <c r="BL44" s="79"/>
    </row>
    <row r="45" spans="1:64" ht="12.75" hidden="1">
      <c r="A45" s="77" t="s">
        <v>40</v>
      </c>
      <c r="B45" s="77"/>
      <c r="C45" s="35">
        <f t="shared" si="8"/>
        <v>0</v>
      </c>
      <c r="D45" s="35"/>
      <c r="E45" s="24">
        <v>0</v>
      </c>
      <c r="F45" s="35"/>
      <c r="G45" s="24">
        <v>0</v>
      </c>
      <c r="H45" s="35"/>
      <c r="I45" s="35">
        <f t="shared" si="9"/>
        <v>0</v>
      </c>
      <c r="J45" s="35"/>
      <c r="K45" s="24">
        <v>0</v>
      </c>
      <c r="L45" s="35"/>
      <c r="M45" s="24">
        <v>0</v>
      </c>
      <c r="N45" s="35"/>
      <c r="O45" s="24">
        <v>0</v>
      </c>
      <c r="P45" s="35"/>
      <c r="Q45" s="24">
        <v>0</v>
      </c>
      <c r="R45" s="35"/>
      <c r="S45" s="24">
        <v>0</v>
      </c>
      <c r="T45" s="35"/>
      <c r="U45" s="35">
        <f t="shared" si="10"/>
        <v>0</v>
      </c>
      <c r="V45" s="35"/>
      <c r="W45" s="35">
        <f t="shared" si="11"/>
        <v>0</v>
      </c>
      <c r="X45" s="35"/>
      <c r="Y45" s="81" t="s">
        <v>40</v>
      </c>
      <c r="Z45" s="35"/>
      <c r="AA45" s="24">
        <v>0</v>
      </c>
      <c r="AB45" s="17"/>
      <c r="AC45" s="24">
        <v>0</v>
      </c>
      <c r="AD45" s="17"/>
      <c r="AE45" s="24">
        <v>0</v>
      </c>
      <c r="AF45" s="17"/>
      <c r="AG45" s="35">
        <f t="shared" si="12"/>
        <v>0</v>
      </c>
      <c r="AH45" s="40"/>
      <c r="AI45" s="24">
        <v>0</v>
      </c>
      <c r="AJ45" s="40"/>
      <c r="AK45" s="24">
        <v>0</v>
      </c>
      <c r="AL45" s="17"/>
      <c r="AM45" s="24">
        <v>0</v>
      </c>
      <c r="AN45" s="17"/>
      <c r="AO45" s="24">
        <v>0</v>
      </c>
      <c r="AP45" s="17"/>
      <c r="AQ45" s="35">
        <f t="shared" si="15"/>
        <v>0</v>
      </c>
      <c r="AR45" s="40"/>
      <c r="AS45" s="17">
        <v>0</v>
      </c>
      <c r="AT45" s="17"/>
      <c r="AU45" s="17">
        <v>0</v>
      </c>
      <c r="AV45" s="17"/>
      <c r="AW45" s="35">
        <f t="shared" si="13"/>
        <v>0</v>
      </c>
      <c r="AX45" s="35"/>
      <c r="AY45" s="81" t="s">
        <v>40</v>
      </c>
      <c r="AZ45" s="35"/>
      <c r="BA45" s="24">
        <v>0</v>
      </c>
      <c r="BB45" s="17"/>
      <c r="BC45" s="24">
        <v>0</v>
      </c>
      <c r="BD45" s="17"/>
      <c r="BE45" s="24">
        <v>0</v>
      </c>
      <c r="BF45" s="17"/>
      <c r="BG45" s="24">
        <v>0</v>
      </c>
      <c r="BH45" s="17"/>
      <c r="BI45" s="17"/>
      <c r="BJ45" s="17"/>
      <c r="BK45" s="35">
        <f t="shared" si="14"/>
        <v>0</v>
      </c>
      <c r="BL45" s="79"/>
    </row>
    <row r="46" spans="1:64" ht="12.75" hidden="1">
      <c r="A46" s="77" t="s">
        <v>41</v>
      </c>
      <c r="B46" s="77"/>
      <c r="C46" s="35">
        <f t="shared" si="8"/>
        <v>0</v>
      </c>
      <c r="D46" s="35"/>
      <c r="E46" s="24">
        <v>0</v>
      </c>
      <c r="F46" s="35"/>
      <c r="G46" s="24">
        <v>0</v>
      </c>
      <c r="H46" s="35"/>
      <c r="I46" s="35">
        <f t="shared" si="9"/>
        <v>0</v>
      </c>
      <c r="J46" s="35"/>
      <c r="K46" s="24">
        <v>0</v>
      </c>
      <c r="L46" s="35"/>
      <c r="M46" s="24">
        <v>0</v>
      </c>
      <c r="N46" s="35"/>
      <c r="O46" s="24">
        <v>0</v>
      </c>
      <c r="P46" s="35"/>
      <c r="Q46" s="24">
        <v>0</v>
      </c>
      <c r="R46" s="35"/>
      <c r="S46" s="24">
        <v>0</v>
      </c>
      <c r="T46" s="35"/>
      <c r="U46" s="35">
        <f t="shared" si="10"/>
        <v>0</v>
      </c>
      <c r="V46" s="35"/>
      <c r="W46" s="35">
        <f t="shared" si="11"/>
        <v>0</v>
      </c>
      <c r="X46" s="35"/>
      <c r="Y46" s="81" t="s">
        <v>41</v>
      </c>
      <c r="Z46" s="35"/>
      <c r="AA46" s="24">
        <v>0</v>
      </c>
      <c r="AB46" s="17"/>
      <c r="AC46" s="24">
        <v>0</v>
      </c>
      <c r="AD46" s="17"/>
      <c r="AE46" s="24">
        <v>0</v>
      </c>
      <c r="AF46" s="17"/>
      <c r="AG46" s="35">
        <f t="shared" si="12"/>
        <v>0</v>
      </c>
      <c r="AH46" s="40"/>
      <c r="AI46" s="24">
        <v>0</v>
      </c>
      <c r="AJ46" s="40"/>
      <c r="AK46" s="24">
        <v>0</v>
      </c>
      <c r="AL46" s="17"/>
      <c r="AM46" s="24">
        <v>0</v>
      </c>
      <c r="AN46" s="17"/>
      <c r="AO46" s="24">
        <v>0</v>
      </c>
      <c r="AP46" s="17"/>
      <c r="AQ46" s="35">
        <f t="shared" si="15"/>
        <v>0</v>
      </c>
      <c r="AR46" s="40"/>
      <c r="AS46" s="17">
        <v>0</v>
      </c>
      <c r="AT46" s="17"/>
      <c r="AU46" s="17">
        <v>0</v>
      </c>
      <c r="AV46" s="17"/>
      <c r="AW46" s="35">
        <f t="shared" si="13"/>
        <v>0</v>
      </c>
      <c r="AX46" s="35"/>
      <c r="AY46" s="81" t="s">
        <v>41</v>
      </c>
      <c r="AZ46" s="35"/>
      <c r="BA46" s="24">
        <v>0</v>
      </c>
      <c r="BB46" s="17"/>
      <c r="BC46" s="24">
        <v>0</v>
      </c>
      <c r="BD46" s="17"/>
      <c r="BE46" s="24">
        <v>0</v>
      </c>
      <c r="BF46" s="17"/>
      <c r="BG46" s="24">
        <v>0</v>
      </c>
      <c r="BH46" s="17"/>
      <c r="BI46" s="17"/>
      <c r="BJ46" s="17"/>
      <c r="BK46" s="35">
        <f t="shared" si="14"/>
        <v>0</v>
      </c>
      <c r="BL46" s="79"/>
    </row>
    <row r="47" spans="1:64" ht="12.75">
      <c r="A47" s="77" t="s">
        <v>42</v>
      </c>
      <c r="B47" s="77"/>
      <c r="C47" s="35">
        <f t="shared" si="8"/>
        <v>123022</v>
      </c>
      <c r="D47" s="35"/>
      <c r="E47" s="24">
        <v>1373665</v>
      </c>
      <c r="F47" s="35"/>
      <c r="G47" s="24">
        <v>1496687</v>
      </c>
      <c r="H47" s="35"/>
      <c r="I47" s="35">
        <f t="shared" si="9"/>
        <v>15815</v>
      </c>
      <c r="J47" s="35"/>
      <c r="K47" s="24">
        <v>470039</v>
      </c>
      <c r="L47" s="35"/>
      <c r="M47" s="24">
        <v>485854</v>
      </c>
      <c r="N47" s="35"/>
      <c r="O47" s="24">
        <v>899965</v>
      </c>
      <c r="P47" s="35"/>
      <c r="Q47" s="24">
        <v>0</v>
      </c>
      <c r="R47" s="35"/>
      <c r="S47" s="24">
        <v>110868</v>
      </c>
      <c r="T47" s="35"/>
      <c r="U47" s="35">
        <f t="shared" si="10"/>
        <v>1010833</v>
      </c>
      <c r="V47" s="35"/>
      <c r="W47" s="35">
        <f t="shared" si="11"/>
        <v>0</v>
      </c>
      <c r="X47" s="35"/>
      <c r="Y47" s="81" t="s">
        <v>42</v>
      </c>
      <c r="Z47" s="35"/>
      <c r="AA47" s="24">
        <v>172373</v>
      </c>
      <c r="AB47" s="17"/>
      <c r="AC47" s="24">
        <f>178820-57778</f>
        <v>121042</v>
      </c>
      <c r="AD47" s="17"/>
      <c r="AE47" s="24">
        <v>57778</v>
      </c>
      <c r="AF47" s="17"/>
      <c r="AG47" s="35">
        <f t="shared" si="12"/>
        <v>-6447</v>
      </c>
      <c r="AH47" s="40"/>
      <c r="AI47" s="24">
        <v>-24312</v>
      </c>
      <c r="AJ47" s="40"/>
      <c r="AK47" s="24">
        <v>0</v>
      </c>
      <c r="AL47" s="17"/>
      <c r="AM47" s="24">
        <v>0</v>
      </c>
      <c r="AN47" s="17"/>
      <c r="AO47" s="24">
        <v>0</v>
      </c>
      <c r="AP47" s="17"/>
      <c r="AQ47" s="35">
        <f t="shared" si="15"/>
        <v>-30759</v>
      </c>
      <c r="AR47" s="40"/>
      <c r="AS47" s="17">
        <v>0</v>
      </c>
      <c r="AT47" s="17"/>
      <c r="AU47" s="17">
        <v>0</v>
      </c>
      <c r="AV47" s="17"/>
      <c r="AW47" s="35">
        <f t="shared" si="13"/>
        <v>107207</v>
      </c>
      <c r="AX47" s="17"/>
      <c r="AY47" s="81" t="s">
        <v>42</v>
      </c>
      <c r="AZ47" s="17"/>
      <c r="BA47" s="24">
        <v>0</v>
      </c>
      <c r="BB47" s="17"/>
      <c r="BC47" s="24">
        <v>464100</v>
      </c>
      <c r="BD47" s="17"/>
      <c r="BE47" s="24">
        <v>0</v>
      </c>
      <c r="BF47" s="17"/>
      <c r="BG47" s="24">
        <v>5939</v>
      </c>
      <c r="BH47" s="17"/>
      <c r="BI47" s="17"/>
      <c r="BJ47" s="17"/>
      <c r="BK47" s="35">
        <f t="shared" si="14"/>
        <v>470039</v>
      </c>
      <c r="BL47" s="79"/>
    </row>
    <row r="48" spans="1:64" ht="12.75" hidden="1">
      <c r="A48" s="77" t="s">
        <v>42</v>
      </c>
      <c r="B48" s="77"/>
      <c r="C48" s="155">
        <f t="shared" si="8"/>
        <v>0</v>
      </c>
      <c r="D48" s="155"/>
      <c r="E48" s="24">
        <v>0</v>
      </c>
      <c r="F48" s="155"/>
      <c r="G48" s="24">
        <v>0</v>
      </c>
      <c r="H48" s="155"/>
      <c r="I48" s="155">
        <f t="shared" si="9"/>
        <v>0</v>
      </c>
      <c r="J48" s="155"/>
      <c r="K48" s="24">
        <v>0</v>
      </c>
      <c r="L48" s="155"/>
      <c r="M48" s="24">
        <v>0</v>
      </c>
      <c r="N48" s="155"/>
      <c r="O48" s="24">
        <v>0</v>
      </c>
      <c r="P48" s="155"/>
      <c r="Q48" s="24">
        <v>0</v>
      </c>
      <c r="R48" s="155"/>
      <c r="S48" s="24">
        <v>0</v>
      </c>
      <c r="T48" s="155"/>
      <c r="U48" s="155">
        <f t="shared" si="10"/>
        <v>0</v>
      </c>
      <c r="V48" s="155"/>
      <c r="W48" s="155">
        <f t="shared" si="11"/>
        <v>0</v>
      </c>
      <c r="X48" s="155"/>
      <c r="Y48" s="161" t="s">
        <v>42</v>
      </c>
      <c r="Z48" s="155"/>
      <c r="AA48" s="24">
        <v>0</v>
      </c>
      <c r="AB48" s="156"/>
      <c r="AC48" s="24">
        <v>0</v>
      </c>
      <c r="AD48" s="156"/>
      <c r="AE48" s="24">
        <v>0</v>
      </c>
      <c r="AF48" s="156"/>
      <c r="AG48" s="155">
        <f t="shared" si="12"/>
        <v>0</v>
      </c>
      <c r="AH48" s="147"/>
      <c r="AI48" s="24">
        <v>0</v>
      </c>
      <c r="AJ48" s="147"/>
      <c r="AK48" s="24">
        <v>0</v>
      </c>
      <c r="AL48" s="156"/>
      <c r="AM48" s="24">
        <v>0</v>
      </c>
      <c r="AN48" s="156"/>
      <c r="AO48" s="24">
        <v>0</v>
      </c>
      <c r="AP48" s="156"/>
      <c r="AQ48" s="155">
        <f t="shared" si="15"/>
        <v>0</v>
      </c>
      <c r="AR48" s="147"/>
      <c r="AS48" s="156">
        <v>0</v>
      </c>
      <c r="AT48" s="156"/>
      <c r="AU48" s="156">
        <v>0</v>
      </c>
      <c r="AV48" s="156"/>
      <c r="AW48" s="155">
        <f t="shared" si="13"/>
        <v>0</v>
      </c>
      <c r="AX48" s="156"/>
      <c r="AY48" s="161" t="s">
        <v>42</v>
      </c>
      <c r="AZ48" s="156"/>
      <c r="BA48" s="24">
        <v>0</v>
      </c>
      <c r="BB48" s="156"/>
      <c r="BC48" s="24">
        <v>0</v>
      </c>
      <c r="BD48" s="156"/>
      <c r="BE48" s="24">
        <v>0</v>
      </c>
      <c r="BF48" s="156"/>
      <c r="BG48" s="24">
        <v>0</v>
      </c>
      <c r="BH48" s="156"/>
      <c r="BI48" s="156"/>
      <c r="BJ48" s="156"/>
      <c r="BK48" s="155">
        <f t="shared" si="14"/>
        <v>0</v>
      </c>
      <c r="BL48" s="79"/>
    </row>
    <row r="49" spans="1:64" ht="12.75" hidden="1">
      <c r="A49" s="77" t="s">
        <v>43</v>
      </c>
      <c r="B49" s="77"/>
      <c r="C49" s="155">
        <f t="shared" si="8"/>
        <v>0</v>
      </c>
      <c r="D49" s="155"/>
      <c r="E49" s="24">
        <v>0</v>
      </c>
      <c r="F49" s="155"/>
      <c r="G49" s="24">
        <v>0</v>
      </c>
      <c r="H49" s="155"/>
      <c r="I49" s="155">
        <f>M49-K49</f>
        <v>0</v>
      </c>
      <c r="J49" s="155"/>
      <c r="K49" s="24">
        <v>0</v>
      </c>
      <c r="L49" s="155"/>
      <c r="M49" s="24">
        <v>0</v>
      </c>
      <c r="N49" s="155"/>
      <c r="O49" s="24">
        <v>0</v>
      </c>
      <c r="P49" s="155"/>
      <c r="Q49" s="24">
        <v>0</v>
      </c>
      <c r="R49" s="155"/>
      <c r="S49" s="24">
        <v>0</v>
      </c>
      <c r="T49" s="155"/>
      <c r="U49" s="155">
        <f t="shared" si="10"/>
        <v>0</v>
      </c>
      <c r="V49" s="155"/>
      <c r="W49" s="155">
        <f t="shared" si="11"/>
        <v>0</v>
      </c>
      <c r="X49" s="155"/>
      <c r="Y49" s="161" t="s">
        <v>43</v>
      </c>
      <c r="Z49" s="155"/>
      <c r="AA49" s="24">
        <v>0</v>
      </c>
      <c r="AB49" s="156"/>
      <c r="AC49" s="24">
        <v>0</v>
      </c>
      <c r="AD49" s="156"/>
      <c r="AE49" s="24">
        <v>0</v>
      </c>
      <c r="AF49" s="156"/>
      <c r="AG49" s="155">
        <f t="shared" si="12"/>
        <v>0</v>
      </c>
      <c r="AH49" s="147"/>
      <c r="AI49" s="24">
        <v>0</v>
      </c>
      <c r="AJ49" s="147"/>
      <c r="AK49" s="24">
        <v>0</v>
      </c>
      <c r="AL49" s="156"/>
      <c r="AM49" s="24">
        <v>0</v>
      </c>
      <c r="AN49" s="156"/>
      <c r="AO49" s="24">
        <v>0</v>
      </c>
      <c r="AP49" s="156"/>
      <c r="AQ49" s="155">
        <f t="shared" si="15"/>
        <v>0</v>
      </c>
      <c r="AR49" s="147"/>
      <c r="AS49" s="156">
        <v>0</v>
      </c>
      <c r="AT49" s="156"/>
      <c r="AU49" s="156">
        <v>0</v>
      </c>
      <c r="AV49" s="156"/>
      <c r="AW49" s="155">
        <f t="shared" si="13"/>
        <v>0</v>
      </c>
      <c r="AX49" s="156"/>
      <c r="AY49" s="161" t="s">
        <v>43</v>
      </c>
      <c r="AZ49" s="156"/>
      <c r="BA49" s="24">
        <v>0</v>
      </c>
      <c r="BB49" s="156"/>
      <c r="BC49" s="24">
        <v>0</v>
      </c>
      <c r="BD49" s="156"/>
      <c r="BE49" s="24">
        <v>0</v>
      </c>
      <c r="BF49" s="156"/>
      <c r="BG49" s="24">
        <v>0</v>
      </c>
      <c r="BH49" s="156"/>
      <c r="BI49" s="156"/>
      <c r="BJ49" s="156"/>
      <c r="BK49" s="155">
        <f t="shared" si="14"/>
        <v>0</v>
      </c>
      <c r="BL49" s="79"/>
    </row>
    <row r="50" spans="1:65" ht="12.75" hidden="1">
      <c r="A50" s="77" t="s">
        <v>44</v>
      </c>
      <c r="B50" s="77"/>
      <c r="C50" s="155">
        <f t="shared" si="8"/>
        <v>0</v>
      </c>
      <c r="D50" s="155"/>
      <c r="E50" s="24">
        <v>0</v>
      </c>
      <c r="F50" s="155"/>
      <c r="G50" s="24">
        <v>0</v>
      </c>
      <c r="H50" s="155"/>
      <c r="I50" s="155">
        <f t="shared" si="9"/>
        <v>0</v>
      </c>
      <c r="J50" s="155"/>
      <c r="K50" s="24">
        <v>0</v>
      </c>
      <c r="L50" s="155"/>
      <c r="M50" s="24">
        <v>0</v>
      </c>
      <c r="N50" s="155"/>
      <c r="O50" s="24">
        <v>0</v>
      </c>
      <c r="P50" s="155"/>
      <c r="Q50" s="24">
        <v>0</v>
      </c>
      <c r="R50" s="155"/>
      <c r="S50" s="24">
        <v>0</v>
      </c>
      <c r="T50" s="155"/>
      <c r="U50" s="155">
        <f t="shared" si="10"/>
        <v>0</v>
      </c>
      <c r="V50" s="155"/>
      <c r="W50" s="155">
        <f t="shared" si="11"/>
        <v>0</v>
      </c>
      <c r="X50" s="155"/>
      <c r="Y50" s="161" t="s">
        <v>44</v>
      </c>
      <c r="Z50" s="155"/>
      <c r="AA50" s="24">
        <v>0</v>
      </c>
      <c r="AB50" s="156"/>
      <c r="AC50" s="24">
        <v>0</v>
      </c>
      <c r="AD50" s="156"/>
      <c r="AE50" s="24">
        <v>0</v>
      </c>
      <c r="AF50" s="156"/>
      <c r="AG50" s="155">
        <f t="shared" si="12"/>
        <v>0</v>
      </c>
      <c r="AH50" s="147"/>
      <c r="AI50" s="24">
        <v>0</v>
      </c>
      <c r="AJ50" s="147"/>
      <c r="AK50" s="24">
        <v>0</v>
      </c>
      <c r="AL50" s="156"/>
      <c r="AM50" s="24">
        <v>0</v>
      </c>
      <c r="AN50" s="156"/>
      <c r="AO50" s="24">
        <v>0</v>
      </c>
      <c r="AP50" s="156"/>
      <c r="AQ50" s="155">
        <f t="shared" si="15"/>
        <v>0</v>
      </c>
      <c r="AR50" s="147"/>
      <c r="AS50" s="156">
        <v>0</v>
      </c>
      <c r="AT50" s="156"/>
      <c r="AU50" s="156">
        <v>0</v>
      </c>
      <c r="AV50" s="156"/>
      <c r="AW50" s="155">
        <f t="shared" si="13"/>
        <v>0</v>
      </c>
      <c r="AX50" s="155"/>
      <c r="AY50" s="161" t="s">
        <v>44</v>
      </c>
      <c r="AZ50" s="155"/>
      <c r="BA50" s="24">
        <v>0</v>
      </c>
      <c r="BB50" s="156"/>
      <c r="BC50" s="24">
        <v>0</v>
      </c>
      <c r="BD50" s="156"/>
      <c r="BE50" s="24">
        <v>0</v>
      </c>
      <c r="BF50" s="156"/>
      <c r="BG50" s="24">
        <v>0</v>
      </c>
      <c r="BH50" s="156"/>
      <c r="BI50" s="156"/>
      <c r="BJ50" s="156"/>
      <c r="BK50" s="155">
        <f t="shared" si="14"/>
        <v>0</v>
      </c>
      <c r="BL50" s="79"/>
      <c r="BM50" s="79"/>
    </row>
    <row r="51" spans="1:64" ht="12.75" hidden="1">
      <c r="A51" s="77" t="s">
        <v>241</v>
      </c>
      <c r="B51" s="77"/>
      <c r="C51" s="155">
        <f t="shared" si="8"/>
        <v>0</v>
      </c>
      <c r="D51" s="155"/>
      <c r="E51" s="24">
        <v>0</v>
      </c>
      <c r="F51" s="155"/>
      <c r="G51" s="24">
        <v>0</v>
      </c>
      <c r="H51" s="155"/>
      <c r="I51" s="155">
        <f t="shared" si="9"/>
        <v>0</v>
      </c>
      <c r="J51" s="155"/>
      <c r="K51" s="24">
        <v>0</v>
      </c>
      <c r="L51" s="155"/>
      <c r="M51" s="24">
        <v>0</v>
      </c>
      <c r="N51" s="155"/>
      <c r="O51" s="24">
        <v>0</v>
      </c>
      <c r="P51" s="155"/>
      <c r="Q51" s="24">
        <v>0</v>
      </c>
      <c r="R51" s="155"/>
      <c r="S51" s="24">
        <v>0</v>
      </c>
      <c r="T51" s="155"/>
      <c r="U51" s="155">
        <f t="shared" si="10"/>
        <v>0</v>
      </c>
      <c r="V51" s="155"/>
      <c r="W51" s="155">
        <f t="shared" si="11"/>
        <v>0</v>
      </c>
      <c r="X51" s="155"/>
      <c r="Y51" s="161" t="s">
        <v>45</v>
      </c>
      <c r="Z51" s="155"/>
      <c r="AA51" s="24">
        <v>0</v>
      </c>
      <c r="AB51" s="156"/>
      <c r="AC51" s="24">
        <v>0</v>
      </c>
      <c r="AD51" s="156"/>
      <c r="AE51" s="24">
        <v>0</v>
      </c>
      <c r="AF51" s="156"/>
      <c r="AG51" s="155">
        <f t="shared" si="12"/>
        <v>0</v>
      </c>
      <c r="AH51" s="147"/>
      <c r="AI51" s="24">
        <v>0</v>
      </c>
      <c r="AJ51" s="147"/>
      <c r="AK51" s="24">
        <v>0</v>
      </c>
      <c r="AL51" s="156"/>
      <c r="AM51" s="24">
        <v>0</v>
      </c>
      <c r="AN51" s="156"/>
      <c r="AO51" s="24">
        <v>0</v>
      </c>
      <c r="AP51" s="156"/>
      <c r="AQ51" s="155">
        <f t="shared" si="15"/>
        <v>0</v>
      </c>
      <c r="AR51" s="147"/>
      <c r="AS51" s="156">
        <v>0</v>
      </c>
      <c r="AT51" s="156"/>
      <c r="AU51" s="156">
        <v>0</v>
      </c>
      <c r="AV51" s="156"/>
      <c r="AW51" s="155">
        <f t="shared" si="13"/>
        <v>0</v>
      </c>
      <c r="AX51" s="156"/>
      <c r="AY51" s="161" t="s">
        <v>45</v>
      </c>
      <c r="AZ51" s="156"/>
      <c r="BA51" s="24">
        <v>0</v>
      </c>
      <c r="BB51" s="156"/>
      <c r="BC51" s="24">
        <v>0</v>
      </c>
      <c r="BD51" s="156"/>
      <c r="BE51" s="24">
        <v>0</v>
      </c>
      <c r="BF51" s="156"/>
      <c r="BG51" s="24">
        <v>0</v>
      </c>
      <c r="BH51" s="156"/>
      <c r="BI51" s="156"/>
      <c r="BJ51" s="156"/>
      <c r="BK51" s="155">
        <f t="shared" si="14"/>
        <v>0</v>
      </c>
      <c r="BL51" s="79"/>
    </row>
    <row r="52" spans="1:64" ht="12.75">
      <c r="A52" s="77" t="s">
        <v>46</v>
      </c>
      <c r="B52" s="77"/>
      <c r="C52" s="155">
        <f t="shared" si="8"/>
        <v>777404</v>
      </c>
      <c r="D52" s="155"/>
      <c r="E52" s="24">
        <v>13676923</v>
      </c>
      <c r="F52" s="155"/>
      <c r="G52" s="24">
        <v>14454327</v>
      </c>
      <c r="H52" s="155"/>
      <c r="I52" s="155">
        <f t="shared" si="9"/>
        <v>214362</v>
      </c>
      <c r="J52" s="155"/>
      <c r="K52" s="24">
        <v>3353634</v>
      </c>
      <c r="L52" s="155"/>
      <c r="M52" s="24">
        <v>3567996</v>
      </c>
      <c r="N52" s="155"/>
      <c r="O52" s="24">
        <v>10012482</v>
      </c>
      <c r="P52" s="155"/>
      <c r="Q52" s="24">
        <v>171232</v>
      </c>
      <c r="R52" s="155"/>
      <c r="S52" s="24">
        <v>702617</v>
      </c>
      <c r="T52" s="155"/>
      <c r="U52" s="155">
        <f t="shared" si="10"/>
        <v>10886331</v>
      </c>
      <c r="V52" s="155"/>
      <c r="W52" s="155">
        <f t="shared" si="11"/>
        <v>0</v>
      </c>
      <c r="X52" s="155"/>
      <c r="Y52" s="161" t="s">
        <v>46</v>
      </c>
      <c r="Z52" s="155"/>
      <c r="AA52" s="24">
        <v>1229153</v>
      </c>
      <c r="AB52" s="156"/>
      <c r="AC52" s="24">
        <f>1228229-633694</f>
        <v>594535</v>
      </c>
      <c r="AD52" s="156"/>
      <c r="AE52" s="24">
        <v>633694</v>
      </c>
      <c r="AF52" s="156"/>
      <c r="AG52" s="155">
        <f t="shared" si="12"/>
        <v>924</v>
      </c>
      <c r="AH52" s="147"/>
      <c r="AI52" s="24">
        <v>-80615</v>
      </c>
      <c r="AJ52" s="147"/>
      <c r="AK52" s="24">
        <v>0</v>
      </c>
      <c r="AL52" s="156"/>
      <c r="AM52" s="24">
        <v>0</v>
      </c>
      <c r="AN52" s="156"/>
      <c r="AO52" s="24">
        <v>0</v>
      </c>
      <c r="AP52" s="156"/>
      <c r="AQ52" s="155">
        <f t="shared" si="15"/>
        <v>-79691</v>
      </c>
      <c r="AR52" s="147"/>
      <c r="AS52" s="156">
        <v>0</v>
      </c>
      <c r="AT52" s="156"/>
      <c r="AU52" s="156">
        <v>0</v>
      </c>
      <c r="AV52" s="156"/>
      <c r="AW52" s="155">
        <f t="shared" si="13"/>
        <v>563042</v>
      </c>
      <c r="AX52" s="156"/>
      <c r="AY52" s="161" t="s">
        <v>46</v>
      </c>
      <c r="AZ52" s="156"/>
      <c r="BA52" s="24">
        <v>2583409</v>
      </c>
      <c r="BB52" s="156"/>
      <c r="BC52" s="24">
        <v>0</v>
      </c>
      <c r="BD52" s="156"/>
      <c r="BE52" s="24">
        <f>200014+550911</f>
        <v>750925</v>
      </c>
      <c r="BF52" s="156"/>
      <c r="BG52" s="24">
        <f>19300</f>
        <v>19300</v>
      </c>
      <c r="BH52" s="156"/>
      <c r="BI52" s="156"/>
      <c r="BJ52" s="156"/>
      <c r="BK52" s="155">
        <f t="shared" si="14"/>
        <v>3353634</v>
      </c>
      <c r="BL52" s="79"/>
    </row>
    <row r="53" spans="1:64" ht="12.75">
      <c r="A53" s="77" t="s">
        <v>47</v>
      </c>
      <c r="B53" s="77"/>
      <c r="C53" s="155">
        <f t="shared" si="8"/>
        <v>9864880</v>
      </c>
      <c r="D53" s="155"/>
      <c r="E53" s="24">
        <v>4083917</v>
      </c>
      <c r="F53" s="155"/>
      <c r="G53" s="24">
        <v>13948797</v>
      </c>
      <c r="H53" s="155"/>
      <c r="I53" s="155">
        <f t="shared" si="9"/>
        <v>81436</v>
      </c>
      <c r="J53" s="155"/>
      <c r="K53" s="24">
        <v>6723033</v>
      </c>
      <c r="L53" s="155"/>
      <c r="M53" s="24">
        <v>6804469</v>
      </c>
      <c r="N53" s="155"/>
      <c r="O53" s="24">
        <v>3904705</v>
      </c>
      <c r="P53" s="155"/>
      <c r="Q53" s="24">
        <v>0</v>
      </c>
      <c r="R53" s="155"/>
      <c r="S53" s="24">
        <v>3239623</v>
      </c>
      <c r="T53" s="155"/>
      <c r="U53" s="155">
        <f t="shared" si="10"/>
        <v>7144328</v>
      </c>
      <c r="V53" s="155"/>
      <c r="W53" s="155">
        <f t="shared" si="11"/>
        <v>0</v>
      </c>
      <c r="X53" s="155"/>
      <c r="Y53" s="161" t="s">
        <v>47</v>
      </c>
      <c r="Z53" s="155"/>
      <c r="AA53" s="24">
        <v>1450720</v>
      </c>
      <c r="AB53" s="156"/>
      <c r="AC53" s="24">
        <f>1185162-131485</f>
        <v>1053677</v>
      </c>
      <c r="AD53" s="156"/>
      <c r="AE53" s="24">
        <v>131485</v>
      </c>
      <c r="AF53" s="156"/>
      <c r="AG53" s="155">
        <f t="shared" si="12"/>
        <v>265558</v>
      </c>
      <c r="AH53" s="147"/>
      <c r="AI53" s="24">
        <v>31428</v>
      </c>
      <c r="AJ53" s="147"/>
      <c r="AK53" s="24">
        <v>0</v>
      </c>
      <c r="AL53" s="156"/>
      <c r="AM53" s="24">
        <v>20965</v>
      </c>
      <c r="AN53" s="156"/>
      <c r="AO53" s="24">
        <f>114730+1192000</f>
        <v>1306730</v>
      </c>
      <c r="AP53" s="156"/>
      <c r="AQ53" s="155">
        <f t="shared" si="15"/>
        <v>1582751</v>
      </c>
      <c r="AR53" s="147"/>
      <c r="AS53" s="156">
        <v>0</v>
      </c>
      <c r="AT53" s="156"/>
      <c r="AU53" s="156">
        <v>0</v>
      </c>
      <c r="AV53" s="156"/>
      <c r="AW53" s="155">
        <f t="shared" si="13"/>
        <v>9783444</v>
      </c>
      <c r="AX53" s="156"/>
      <c r="AY53" s="161" t="s">
        <v>47</v>
      </c>
      <c r="AZ53" s="156"/>
      <c r="BA53" s="24">
        <v>0</v>
      </c>
      <c r="BB53" s="156"/>
      <c r="BC53" s="24">
        <f>6660000</f>
        <v>6660000</v>
      </c>
      <c r="BD53" s="156"/>
      <c r="BE53" s="24">
        <v>54197</v>
      </c>
      <c r="BF53" s="156"/>
      <c r="BG53" s="24">
        <f>8836</f>
        <v>8836</v>
      </c>
      <c r="BH53" s="156"/>
      <c r="BI53" s="156"/>
      <c r="BJ53" s="156"/>
      <c r="BK53" s="155">
        <f t="shared" si="14"/>
        <v>6723033</v>
      </c>
      <c r="BL53" s="83"/>
    </row>
    <row r="54" spans="1:64" ht="12.75">
      <c r="A54" s="77" t="s">
        <v>48</v>
      </c>
      <c r="B54" s="77"/>
      <c r="C54" s="155">
        <f t="shared" si="8"/>
        <v>28740179</v>
      </c>
      <c r="D54" s="155"/>
      <c r="E54" s="24">
        <f>120858799+16553789</f>
        <v>137412588</v>
      </c>
      <c r="F54" s="155"/>
      <c r="G54" s="24">
        <f>138638592+27514175</f>
        <v>166152767</v>
      </c>
      <c r="H54" s="155"/>
      <c r="I54" s="155">
        <f t="shared" si="9"/>
        <v>13660539</v>
      </c>
      <c r="J54" s="155"/>
      <c r="K54" s="24">
        <f>21521214+18023271</f>
        <v>39544485</v>
      </c>
      <c r="L54" s="155"/>
      <c r="M54" s="24">
        <f>33899254+19305770</f>
        <v>53205024</v>
      </c>
      <c r="N54" s="155"/>
      <c r="O54" s="24">
        <f>90321782+15793789</f>
        <v>106115571</v>
      </c>
      <c r="P54" s="155"/>
      <c r="Q54" s="24">
        <v>0</v>
      </c>
      <c r="R54" s="155"/>
      <c r="S54" s="24">
        <f>14417556-7585384</f>
        <v>6832172</v>
      </c>
      <c r="T54" s="155"/>
      <c r="U54" s="155">
        <f t="shared" si="10"/>
        <v>112947743</v>
      </c>
      <c r="V54" s="155"/>
      <c r="W54" s="155">
        <f t="shared" si="11"/>
        <v>0</v>
      </c>
      <c r="X54" s="155"/>
      <c r="Y54" s="161" t="s">
        <v>48</v>
      </c>
      <c r="Z54" s="155"/>
      <c r="AA54" s="24">
        <f>15610529+5888874</f>
        <v>21499403</v>
      </c>
      <c r="AB54" s="156"/>
      <c r="AC54" s="24">
        <f>14363961+6677274-4527309-536422</f>
        <v>15977504</v>
      </c>
      <c r="AD54" s="156"/>
      <c r="AE54" s="24">
        <f>4527309+536422</f>
        <v>5063731</v>
      </c>
      <c r="AF54" s="156"/>
      <c r="AG54" s="155">
        <f>+AA54-AC54-AE54</f>
        <v>458168</v>
      </c>
      <c r="AH54" s="147"/>
      <c r="AI54" s="24">
        <f>-1021376+251</f>
        <v>-1021125</v>
      </c>
      <c r="AJ54" s="147"/>
      <c r="AK54" s="24">
        <v>0</v>
      </c>
      <c r="AL54" s="156"/>
      <c r="AM54" s="24">
        <v>0</v>
      </c>
      <c r="AN54" s="156"/>
      <c r="AO54" s="24">
        <f>1069202+24222</f>
        <v>1093424</v>
      </c>
      <c r="AP54" s="156"/>
      <c r="AQ54" s="155">
        <f t="shared" si="15"/>
        <v>530467</v>
      </c>
      <c r="AR54" s="147"/>
      <c r="AS54" s="156">
        <v>0</v>
      </c>
      <c r="AT54" s="156"/>
      <c r="AU54" s="156">
        <v>0</v>
      </c>
      <c r="AV54" s="156"/>
      <c r="AW54" s="155">
        <f t="shared" si="13"/>
        <v>15079640</v>
      </c>
      <c r="AX54" s="156"/>
      <c r="AY54" s="161" t="s">
        <v>48</v>
      </c>
      <c r="AZ54" s="156"/>
      <c r="BA54" s="24">
        <f>1123400</f>
        <v>1123400</v>
      </c>
      <c r="BB54" s="156"/>
      <c r="BC54" s="24">
        <v>0</v>
      </c>
      <c r="BD54" s="156"/>
      <c r="BE54" s="24">
        <f>19016317</f>
        <v>19016317</v>
      </c>
      <c r="BF54" s="156"/>
      <c r="BG54" s="24">
        <f>890236+74087</f>
        <v>964323</v>
      </c>
      <c r="BH54" s="156"/>
      <c r="BI54" s="156"/>
      <c r="BJ54" s="156"/>
      <c r="BK54" s="155">
        <f t="shared" si="14"/>
        <v>21104040</v>
      </c>
      <c r="BL54" s="79"/>
    </row>
    <row r="55" spans="1:64" ht="12.75" hidden="1">
      <c r="A55" s="77" t="s">
        <v>170</v>
      </c>
      <c r="B55" s="77"/>
      <c r="C55" s="155">
        <f t="shared" si="8"/>
        <v>0</v>
      </c>
      <c r="D55" s="155"/>
      <c r="E55" s="24">
        <v>0</v>
      </c>
      <c r="F55" s="155"/>
      <c r="G55" s="24">
        <v>0</v>
      </c>
      <c r="H55" s="155"/>
      <c r="I55" s="155">
        <f t="shared" si="9"/>
        <v>0</v>
      </c>
      <c r="J55" s="155"/>
      <c r="K55" s="24">
        <v>0</v>
      </c>
      <c r="L55" s="155"/>
      <c r="M55" s="24">
        <v>0</v>
      </c>
      <c r="N55" s="155"/>
      <c r="O55" s="24">
        <v>0</v>
      </c>
      <c r="P55" s="155"/>
      <c r="Q55" s="24">
        <v>0</v>
      </c>
      <c r="R55" s="155"/>
      <c r="S55" s="24">
        <v>0</v>
      </c>
      <c r="T55" s="155"/>
      <c r="U55" s="155">
        <f t="shared" si="10"/>
        <v>0</v>
      </c>
      <c r="V55" s="155"/>
      <c r="W55" s="155">
        <f t="shared" si="11"/>
        <v>0</v>
      </c>
      <c r="X55" s="155"/>
      <c r="Y55" s="161" t="s">
        <v>170</v>
      </c>
      <c r="Z55" s="155"/>
      <c r="AA55" s="24">
        <v>0</v>
      </c>
      <c r="AB55" s="156"/>
      <c r="AC55" s="24">
        <v>0</v>
      </c>
      <c r="AD55" s="156"/>
      <c r="AE55" s="24">
        <v>0</v>
      </c>
      <c r="AF55" s="156"/>
      <c r="AG55" s="155">
        <f t="shared" si="12"/>
        <v>0</v>
      </c>
      <c r="AH55" s="147"/>
      <c r="AI55" s="24">
        <v>0</v>
      </c>
      <c r="AJ55" s="147"/>
      <c r="AK55" s="24">
        <v>0</v>
      </c>
      <c r="AL55" s="156"/>
      <c r="AM55" s="24">
        <v>0</v>
      </c>
      <c r="AN55" s="156"/>
      <c r="AO55" s="24">
        <v>0</v>
      </c>
      <c r="AP55" s="156"/>
      <c r="AQ55" s="155">
        <f t="shared" si="15"/>
        <v>0</v>
      </c>
      <c r="AR55" s="147"/>
      <c r="AS55" s="156">
        <v>0</v>
      </c>
      <c r="AT55" s="156"/>
      <c r="AU55" s="156">
        <v>0</v>
      </c>
      <c r="AV55" s="156"/>
      <c r="AW55" s="155">
        <f t="shared" si="13"/>
        <v>0</v>
      </c>
      <c r="AX55" s="156"/>
      <c r="AY55" s="161" t="s">
        <v>170</v>
      </c>
      <c r="AZ55" s="156"/>
      <c r="BA55" s="24">
        <v>0</v>
      </c>
      <c r="BB55" s="156"/>
      <c r="BC55" s="24">
        <v>0</v>
      </c>
      <c r="BD55" s="156"/>
      <c r="BE55" s="24">
        <v>0</v>
      </c>
      <c r="BF55" s="156"/>
      <c r="BG55" s="24">
        <v>0</v>
      </c>
      <c r="BH55" s="156"/>
      <c r="BI55" s="156"/>
      <c r="BJ55" s="156"/>
      <c r="BK55" s="155">
        <f t="shared" si="14"/>
        <v>0</v>
      </c>
      <c r="BL55" s="79"/>
    </row>
    <row r="56" spans="1:64" ht="12.75">
      <c r="A56" s="77" t="s">
        <v>49</v>
      </c>
      <c r="B56" s="77"/>
      <c r="C56" s="155">
        <f t="shared" si="8"/>
        <v>3797083</v>
      </c>
      <c r="D56" s="155"/>
      <c r="E56" s="24">
        <v>17324617</v>
      </c>
      <c r="F56" s="155"/>
      <c r="G56" s="24">
        <v>21121700</v>
      </c>
      <c r="H56" s="155"/>
      <c r="I56" s="155">
        <f t="shared" si="9"/>
        <v>756493</v>
      </c>
      <c r="J56" s="155"/>
      <c r="K56" s="24">
        <v>9640993</v>
      </c>
      <c r="L56" s="155"/>
      <c r="M56" s="24">
        <v>10397486</v>
      </c>
      <c r="N56" s="155"/>
      <c r="O56" s="24">
        <v>7154840</v>
      </c>
      <c r="P56" s="155"/>
      <c r="Q56" s="24">
        <v>0</v>
      </c>
      <c r="R56" s="155"/>
      <c r="S56" s="24">
        <v>3569374</v>
      </c>
      <c r="T56" s="155"/>
      <c r="U56" s="155">
        <f t="shared" si="10"/>
        <v>10724214</v>
      </c>
      <c r="V56" s="155"/>
      <c r="W56" s="155">
        <f t="shared" si="11"/>
        <v>0</v>
      </c>
      <c r="X56" s="155"/>
      <c r="Y56" s="161" t="s">
        <v>49</v>
      </c>
      <c r="Z56" s="155"/>
      <c r="AA56" s="24">
        <v>2663972</v>
      </c>
      <c r="AB56" s="156"/>
      <c r="AC56" s="24">
        <f>2334360-276633</f>
        <v>2057727</v>
      </c>
      <c r="AD56" s="156"/>
      <c r="AE56" s="24">
        <v>276633</v>
      </c>
      <c r="AF56" s="156"/>
      <c r="AG56" s="155">
        <f t="shared" si="12"/>
        <v>329612</v>
      </c>
      <c r="AH56" s="147"/>
      <c r="AI56" s="24">
        <v>-97834</v>
      </c>
      <c r="AJ56" s="147"/>
      <c r="AK56" s="24">
        <v>60061</v>
      </c>
      <c r="AL56" s="156"/>
      <c r="AM56" s="24">
        <v>0</v>
      </c>
      <c r="AN56" s="156"/>
      <c r="AO56" s="24">
        <v>0</v>
      </c>
      <c r="AP56" s="156"/>
      <c r="AQ56" s="155">
        <f t="shared" si="15"/>
        <v>291839</v>
      </c>
      <c r="AR56" s="147"/>
      <c r="AS56" s="156">
        <v>0</v>
      </c>
      <c r="AT56" s="156"/>
      <c r="AU56" s="156">
        <v>0</v>
      </c>
      <c r="AV56" s="156"/>
      <c r="AW56" s="155">
        <f t="shared" si="13"/>
        <v>3040590</v>
      </c>
      <c r="AX56" s="156"/>
      <c r="AY56" s="161" t="s">
        <v>49</v>
      </c>
      <c r="AZ56" s="156"/>
      <c r="BA56" s="24">
        <f>120000</f>
        <v>120000</v>
      </c>
      <c r="BB56" s="156"/>
      <c r="BC56" s="24">
        <v>0</v>
      </c>
      <c r="BD56" s="156"/>
      <c r="BE56" s="24">
        <f>9319720+297554</f>
        <v>9617274</v>
      </c>
      <c r="BF56" s="156"/>
      <c r="BG56" s="24">
        <v>23719</v>
      </c>
      <c r="BH56" s="156"/>
      <c r="BI56" s="156"/>
      <c r="BJ56" s="156"/>
      <c r="BK56" s="155">
        <f t="shared" si="14"/>
        <v>9760993</v>
      </c>
      <c r="BL56" s="79"/>
    </row>
    <row r="57" spans="1:64" ht="12.75" hidden="1">
      <c r="A57" s="77" t="s">
        <v>50</v>
      </c>
      <c r="B57" s="77"/>
      <c r="C57" s="155">
        <f t="shared" si="8"/>
        <v>0</v>
      </c>
      <c r="D57" s="155"/>
      <c r="E57" s="24">
        <v>0</v>
      </c>
      <c r="F57" s="155"/>
      <c r="G57" s="24">
        <v>0</v>
      </c>
      <c r="H57" s="155"/>
      <c r="I57" s="155">
        <f t="shared" si="9"/>
        <v>0</v>
      </c>
      <c r="J57" s="155"/>
      <c r="K57" s="24">
        <v>0</v>
      </c>
      <c r="L57" s="155"/>
      <c r="M57" s="24">
        <v>0</v>
      </c>
      <c r="N57" s="155"/>
      <c r="O57" s="24">
        <v>0</v>
      </c>
      <c r="P57" s="155"/>
      <c r="Q57" s="24">
        <v>0</v>
      </c>
      <c r="R57" s="155"/>
      <c r="S57" s="24">
        <v>0</v>
      </c>
      <c r="T57" s="155"/>
      <c r="U57" s="155">
        <f t="shared" si="10"/>
        <v>0</v>
      </c>
      <c r="V57" s="155"/>
      <c r="W57" s="155">
        <f t="shared" si="11"/>
        <v>0</v>
      </c>
      <c r="X57" s="155"/>
      <c r="Y57" s="161" t="s">
        <v>50</v>
      </c>
      <c r="Z57" s="155"/>
      <c r="AA57" s="24">
        <v>0</v>
      </c>
      <c r="AB57" s="156"/>
      <c r="AC57" s="24">
        <v>0</v>
      </c>
      <c r="AD57" s="156"/>
      <c r="AE57" s="24">
        <v>0</v>
      </c>
      <c r="AF57" s="156"/>
      <c r="AG57" s="155">
        <f t="shared" si="12"/>
        <v>0</v>
      </c>
      <c r="AH57" s="147"/>
      <c r="AI57" s="24">
        <v>0</v>
      </c>
      <c r="AJ57" s="147"/>
      <c r="AK57" s="24">
        <v>0</v>
      </c>
      <c r="AL57" s="156"/>
      <c r="AM57" s="24">
        <v>0</v>
      </c>
      <c r="AN57" s="156"/>
      <c r="AO57" s="24">
        <v>0</v>
      </c>
      <c r="AP57" s="156"/>
      <c r="AQ57" s="155">
        <f t="shared" si="15"/>
        <v>0</v>
      </c>
      <c r="AR57" s="147"/>
      <c r="AS57" s="156">
        <v>0</v>
      </c>
      <c r="AT57" s="156"/>
      <c r="AU57" s="156">
        <v>0</v>
      </c>
      <c r="AV57" s="156"/>
      <c r="AW57" s="155">
        <f t="shared" si="13"/>
        <v>0</v>
      </c>
      <c r="AX57" s="156"/>
      <c r="AY57" s="161" t="s">
        <v>50</v>
      </c>
      <c r="AZ57" s="156"/>
      <c r="BA57" s="24">
        <v>0</v>
      </c>
      <c r="BB57" s="156"/>
      <c r="BC57" s="24">
        <v>0</v>
      </c>
      <c r="BD57" s="156"/>
      <c r="BE57" s="24">
        <v>0</v>
      </c>
      <c r="BF57" s="156"/>
      <c r="BG57" s="24">
        <v>0</v>
      </c>
      <c r="BH57" s="156"/>
      <c r="BI57" s="156"/>
      <c r="BJ57" s="156"/>
      <c r="BK57" s="155">
        <f t="shared" si="14"/>
        <v>0</v>
      </c>
      <c r="BL57" s="79"/>
    </row>
    <row r="58" spans="1:64" ht="12.75">
      <c r="A58" s="77" t="s">
        <v>246</v>
      </c>
      <c r="B58" s="77"/>
      <c r="C58" s="155">
        <f t="shared" si="8"/>
        <v>3945931</v>
      </c>
      <c r="D58" s="155"/>
      <c r="E58" s="24">
        <v>16286534</v>
      </c>
      <c r="F58" s="155"/>
      <c r="G58" s="24">
        <v>20232465</v>
      </c>
      <c r="H58" s="155"/>
      <c r="I58" s="155">
        <f t="shared" si="9"/>
        <v>5775188</v>
      </c>
      <c r="J58" s="155"/>
      <c r="K58" s="24">
        <v>6290735</v>
      </c>
      <c r="L58" s="155"/>
      <c r="M58" s="24">
        <v>12065923</v>
      </c>
      <c r="N58" s="155"/>
      <c r="O58" s="24">
        <v>5387277</v>
      </c>
      <c r="P58" s="155"/>
      <c r="Q58" s="24">
        <v>0</v>
      </c>
      <c r="R58" s="155"/>
      <c r="S58" s="24">
        <v>2779265</v>
      </c>
      <c r="T58" s="155"/>
      <c r="U58" s="155">
        <f t="shared" si="10"/>
        <v>8166542</v>
      </c>
      <c r="V58" s="155"/>
      <c r="W58" s="155">
        <f t="shared" si="11"/>
        <v>0</v>
      </c>
      <c r="X58" s="155"/>
      <c r="Y58" s="161" t="s">
        <v>51</v>
      </c>
      <c r="Z58" s="155"/>
      <c r="AA58" s="24">
        <v>3139232</v>
      </c>
      <c r="AB58" s="156"/>
      <c r="AC58" s="24">
        <f>1555400-399273</f>
        <v>1156127</v>
      </c>
      <c r="AD58" s="156"/>
      <c r="AE58" s="24">
        <v>399273</v>
      </c>
      <c r="AF58" s="156"/>
      <c r="AG58" s="155">
        <f t="shared" si="12"/>
        <v>1583832</v>
      </c>
      <c r="AH58" s="147"/>
      <c r="AI58" s="24">
        <v>-413501</v>
      </c>
      <c r="AJ58" s="147"/>
      <c r="AK58" s="24">
        <v>0</v>
      </c>
      <c r="AL58" s="156"/>
      <c r="AM58" s="24">
        <v>1050000</v>
      </c>
      <c r="AN58" s="156"/>
      <c r="AO58" s="24">
        <v>0</v>
      </c>
      <c r="AP58" s="156"/>
      <c r="AQ58" s="155">
        <f t="shared" si="15"/>
        <v>120331</v>
      </c>
      <c r="AR58" s="147"/>
      <c r="AS58" s="156">
        <v>0</v>
      </c>
      <c r="AT58" s="156"/>
      <c r="AU58" s="156">
        <v>0</v>
      </c>
      <c r="AV58" s="156"/>
      <c r="AW58" s="155">
        <f t="shared" si="13"/>
        <v>-1829257</v>
      </c>
      <c r="AX58" s="156"/>
      <c r="AY58" s="161" t="s">
        <v>51</v>
      </c>
      <c r="AZ58" s="156"/>
      <c r="BA58" s="24">
        <v>5740000</v>
      </c>
      <c r="BB58" s="156"/>
      <c r="BC58" s="24">
        <v>0</v>
      </c>
      <c r="BD58" s="156"/>
      <c r="BE58" s="24">
        <f>371584+134186</f>
        <v>505770</v>
      </c>
      <c r="BF58" s="156"/>
      <c r="BG58" s="24">
        <v>44965</v>
      </c>
      <c r="BH58" s="156"/>
      <c r="BI58" s="156"/>
      <c r="BJ58" s="156"/>
      <c r="BK58" s="155">
        <f t="shared" si="14"/>
        <v>6290735</v>
      </c>
      <c r="BL58" s="79"/>
    </row>
    <row r="59" spans="1:64" ht="12.75">
      <c r="A59" s="77" t="s">
        <v>183</v>
      </c>
      <c r="B59" s="77"/>
      <c r="C59" s="155">
        <f t="shared" si="8"/>
        <v>4918158</v>
      </c>
      <c r="D59" s="155"/>
      <c r="E59" s="24">
        <v>36096498</v>
      </c>
      <c r="F59" s="155"/>
      <c r="G59" s="24">
        <v>41014656</v>
      </c>
      <c r="H59" s="155"/>
      <c r="I59" s="155">
        <f t="shared" si="9"/>
        <v>889235</v>
      </c>
      <c r="J59" s="155"/>
      <c r="K59" s="24">
        <v>2422094</v>
      </c>
      <c r="L59" s="155"/>
      <c r="M59" s="24">
        <v>3311329</v>
      </c>
      <c r="N59" s="155"/>
      <c r="O59" s="24">
        <v>33093260</v>
      </c>
      <c r="P59" s="155"/>
      <c r="Q59" s="24">
        <v>0</v>
      </c>
      <c r="R59" s="155"/>
      <c r="S59" s="24">
        <v>4610067</v>
      </c>
      <c r="T59" s="155"/>
      <c r="U59" s="155">
        <f t="shared" si="10"/>
        <v>37703327</v>
      </c>
      <c r="V59" s="155"/>
      <c r="W59" s="155">
        <f t="shared" si="11"/>
        <v>0</v>
      </c>
      <c r="X59" s="155"/>
      <c r="Y59" s="161" t="s">
        <v>183</v>
      </c>
      <c r="Z59" s="155"/>
      <c r="AA59" s="24">
        <v>1910387</v>
      </c>
      <c r="AB59" s="156"/>
      <c r="AC59" s="24">
        <f>2109471-1764818</f>
        <v>344653</v>
      </c>
      <c r="AD59" s="156"/>
      <c r="AE59" s="24">
        <v>1764818</v>
      </c>
      <c r="AF59" s="156"/>
      <c r="AG59" s="155">
        <f t="shared" si="12"/>
        <v>-199084</v>
      </c>
      <c r="AH59" s="147"/>
      <c r="AI59" s="24">
        <v>-653045</v>
      </c>
      <c r="AJ59" s="147"/>
      <c r="AK59" s="24">
        <v>250128</v>
      </c>
      <c r="AL59" s="156"/>
      <c r="AM59" s="24">
        <v>0</v>
      </c>
      <c r="AN59" s="156"/>
      <c r="AO59" s="24">
        <v>381160</v>
      </c>
      <c r="AP59" s="156"/>
      <c r="AQ59" s="155">
        <f t="shared" si="15"/>
        <v>-220841</v>
      </c>
      <c r="AR59" s="147"/>
      <c r="AS59" s="156">
        <v>0</v>
      </c>
      <c r="AT59" s="156"/>
      <c r="AU59" s="156">
        <v>0</v>
      </c>
      <c r="AV59" s="156"/>
      <c r="AW59" s="155">
        <f t="shared" si="13"/>
        <v>4028923</v>
      </c>
      <c r="AX59" s="156"/>
      <c r="AY59" s="161" t="s">
        <v>183</v>
      </c>
      <c r="AZ59" s="156"/>
      <c r="BA59" s="24">
        <v>0</v>
      </c>
      <c r="BB59" s="156"/>
      <c r="BC59" s="24">
        <v>0</v>
      </c>
      <c r="BD59" s="156"/>
      <c r="BE59" s="24">
        <f>1063880+1358214</f>
        <v>2422094</v>
      </c>
      <c r="BF59" s="156"/>
      <c r="BG59" s="24">
        <v>0</v>
      </c>
      <c r="BH59" s="156"/>
      <c r="BI59" s="156"/>
      <c r="BJ59" s="156"/>
      <c r="BK59" s="155">
        <f t="shared" si="14"/>
        <v>2422094</v>
      </c>
      <c r="BL59" s="79"/>
    </row>
    <row r="60" spans="1:64" ht="12.75" hidden="1">
      <c r="A60" s="77" t="s">
        <v>52</v>
      </c>
      <c r="B60" s="77"/>
      <c r="C60" s="155">
        <f t="shared" si="8"/>
        <v>0</v>
      </c>
      <c r="D60" s="155"/>
      <c r="E60" s="24">
        <v>0</v>
      </c>
      <c r="F60" s="155"/>
      <c r="G60" s="24">
        <v>0</v>
      </c>
      <c r="H60" s="155"/>
      <c r="I60" s="155">
        <f t="shared" si="9"/>
        <v>0</v>
      </c>
      <c r="J60" s="155"/>
      <c r="K60" s="24">
        <v>0</v>
      </c>
      <c r="L60" s="155"/>
      <c r="M60" s="24">
        <v>0</v>
      </c>
      <c r="N60" s="155"/>
      <c r="O60" s="24">
        <v>0</v>
      </c>
      <c r="P60" s="155"/>
      <c r="Q60" s="24">
        <v>0</v>
      </c>
      <c r="R60" s="155"/>
      <c r="S60" s="24">
        <v>0</v>
      </c>
      <c r="T60" s="155"/>
      <c r="U60" s="155">
        <f t="shared" si="10"/>
        <v>0</v>
      </c>
      <c r="V60" s="155"/>
      <c r="W60" s="155">
        <f t="shared" si="11"/>
        <v>0</v>
      </c>
      <c r="X60" s="155"/>
      <c r="Y60" s="161" t="s">
        <v>52</v>
      </c>
      <c r="Z60" s="155"/>
      <c r="AA60" s="24">
        <v>0</v>
      </c>
      <c r="AB60" s="156"/>
      <c r="AC60" s="24">
        <v>0</v>
      </c>
      <c r="AD60" s="156"/>
      <c r="AE60" s="24">
        <v>0</v>
      </c>
      <c r="AF60" s="156"/>
      <c r="AG60" s="155">
        <f t="shared" si="12"/>
        <v>0</v>
      </c>
      <c r="AH60" s="147"/>
      <c r="AI60" s="24">
        <v>0</v>
      </c>
      <c r="AJ60" s="147"/>
      <c r="AK60" s="24">
        <v>0</v>
      </c>
      <c r="AL60" s="156"/>
      <c r="AM60" s="24">
        <v>0</v>
      </c>
      <c r="AN60" s="156"/>
      <c r="AO60" s="24">
        <v>0</v>
      </c>
      <c r="AP60" s="156"/>
      <c r="AQ60" s="155">
        <f t="shared" si="15"/>
        <v>0</v>
      </c>
      <c r="AR60" s="147"/>
      <c r="AS60" s="156">
        <v>0</v>
      </c>
      <c r="AT60" s="156"/>
      <c r="AU60" s="156">
        <v>0</v>
      </c>
      <c r="AV60" s="156"/>
      <c r="AW60" s="155">
        <f t="shared" si="13"/>
        <v>0</v>
      </c>
      <c r="AX60" s="156"/>
      <c r="AY60" s="161" t="s">
        <v>52</v>
      </c>
      <c r="AZ60" s="156"/>
      <c r="BA60" s="24">
        <v>0</v>
      </c>
      <c r="BB60" s="156"/>
      <c r="BC60" s="24">
        <v>0</v>
      </c>
      <c r="BD60" s="156"/>
      <c r="BE60" s="24">
        <v>0</v>
      </c>
      <c r="BF60" s="156"/>
      <c r="BG60" s="24">
        <v>0</v>
      </c>
      <c r="BH60" s="156"/>
      <c r="BI60" s="156"/>
      <c r="BJ60" s="156"/>
      <c r="BK60" s="155">
        <f t="shared" si="14"/>
        <v>0</v>
      </c>
      <c r="BL60" s="79"/>
    </row>
    <row r="61" spans="1:64" ht="12.75">
      <c r="A61" s="77" t="s">
        <v>53</v>
      </c>
      <c r="B61" s="77"/>
      <c r="C61" s="155">
        <f t="shared" si="8"/>
        <v>18282169</v>
      </c>
      <c r="D61" s="155"/>
      <c r="E61" s="24">
        <v>87209007</v>
      </c>
      <c r="F61" s="155"/>
      <c r="G61" s="24">
        <v>105491176</v>
      </c>
      <c r="H61" s="155"/>
      <c r="I61" s="155">
        <f t="shared" si="9"/>
        <v>3792598</v>
      </c>
      <c r="J61" s="155"/>
      <c r="K61" s="24">
        <v>28890070</v>
      </c>
      <c r="L61" s="155"/>
      <c r="M61" s="24">
        <v>32682668</v>
      </c>
      <c r="N61" s="155"/>
      <c r="O61" s="24">
        <v>41024603</v>
      </c>
      <c r="P61" s="155"/>
      <c r="Q61" s="24">
        <v>15250948</v>
      </c>
      <c r="R61" s="155"/>
      <c r="S61" s="24">
        <v>16532957</v>
      </c>
      <c r="T61" s="155"/>
      <c r="U61" s="155">
        <f t="shared" si="10"/>
        <v>72808508</v>
      </c>
      <c r="V61" s="155"/>
      <c r="W61" s="155">
        <f t="shared" si="11"/>
        <v>0</v>
      </c>
      <c r="X61" s="155"/>
      <c r="Y61" s="161" t="s">
        <v>53</v>
      </c>
      <c r="Z61" s="155"/>
      <c r="AA61" s="24">
        <v>21930267</v>
      </c>
      <c r="AB61" s="156"/>
      <c r="AC61" s="24">
        <f>23263481-2908386</f>
        <v>20355095</v>
      </c>
      <c r="AD61" s="156"/>
      <c r="AE61" s="24">
        <v>2908386</v>
      </c>
      <c r="AF61" s="156"/>
      <c r="AG61" s="155">
        <f t="shared" si="12"/>
        <v>-1333214</v>
      </c>
      <c r="AH61" s="147"/>
      <c r="AI61" s="24">
        <v>-201789</v>
      </c>
      <c r="AJ61" s="147"/>
      <c r="AK61" s="24">
        <v>0</v>
      </c>
      <c r="AL61" s="156"/>
      <c r="AM61" s="24">
        <v>307263</v>
      </c>
      <c r="AN61" s="156"/>
      <c r="AO61" s="24">
        <v>4449308</v>
      </c>
      <c r="AP61" s="156"/>
      <c r="AQ61" s="155">
        <f t="shared" si="15"/>
        <v>2607042</v>
      </c>
      <c r="AR61" s="147"/>
      <c r="AS61" s="156">
        <v>0</v>
      </c>
      <c r="AT61" s="156"/>
      <c r="AU61" s="156">
        <v>0</v>
      </c>
      <c r="AV61" s="156"/>
      <c r="AW61" s="155">
        <f t="shared" si="13"/>
        <v>14489571</v>
      </c>
      <c r="AX61" s="156"/>
      <c r="AY61" s="161" t="s">
        <v>53</v>
      </c>
      <c r="AZ61" s="156"/>
      <c r="BA61" s="24">
        <f>70018</f>
        <v>70018</v>
      </c>
      <c r="BB61" s="156"/>
      <c r="BC61" s="24">
        <f>20729827</f>
        <v>20729827</v>
      </c>
      <c r="BD61" s="156"/>
      <c r="BE61" s="24">
        <f>4298421+3076938</f>
        <v>7375359</v>
      </c>
      <c r="BF61" s="156"/>
      <c r="BG61" s="24">
        <v>714866</v>
      </c>
      <c r="BH61" s="156"/>
      <c r="BI61" s="156"/>
      <c r="BJ61" s="156"/>
      <c r="BK61" s="155">
        <f t="shared" si="14"/>
        <v>28890070</v>
      </c>
      <c r="BL61" s="79"/>
    </row>
    <row r="62" spans="1:64" ht="12.75">
      <c r="A62" s="77" t="s">
        <v>54</v>
      </c>
      <c r="B62" s="77"/>
      <c r="C62" s="155">
        <f t="shared" si="8"/>
        <v>3450594</v>
      </c>
      <c r="D62" s="155"/>
      <c r="E62" s="24">
        <v>7867994</v>
      </c>
      <c r="F62" s="155"/>
      <c r="G62" s="24">
        <v>11318588</v>
      </c>
      <c r="H62" s="155"/>
      <c r="I62" s="155">
        <f t="shared" si="9"/>
        <v>229317</v>
      </c>
      <c r="J62" s="155"/>
      <c r="K62" s="24">
        <v>2165441</v>
      </c>
      <c r="L62" s="155"/>
      <c r="M62" s="24">
        <v>2394758</v>
      </c>
      <c r="N62" s="155"/>
      <c r="O62" s="24">
        <v>5567564</v>
      </c>
      <c r="P62" s="155"/>
      <c r="Q62" s="24">
        <v>0</v>
      </c>
      <c r="R62" s="155"/>
      <c r="S62" s="24">
        <v>3356266</v>
      </c>
      <c r="T62" s="155"/>
      <c r="U62" s="155">
        <f t="shared" si="10"/>
        <v>8923830</v>
      </c>
      <c r="V62" s="155"/>
      <c r="W62" s="155">
        <f t="shared" si="11"/>
        <v>0</v>
      </c>
      <c r="X62" s="155"/>
      <c r="Y62" s="161" t="s">
        <v>54</v>
      </c>
      <c r="Z62" s="155"/>
      <c r="AA62" s="24">
        <v>1000895</v>
      </c>
      <c r="AB62" s="156"/>
      <c r="AC62" s="24">
        <f>1083576-335361</f>
        <v>748215</v>
      </c>
      <c r="AD62" s="156"/>
      <c r="AE62" s="24">
        <v>335361</v>
      </c>
      <c r="AF62" s="156"/>
      <c r="AG62" s="155">
        <f t="shared" si="12"/>
        <v>-82681</v>
      </c>
      <c r="AH62" s="147"/>
      <c r="AI62" s="24">
        <v>-84239</v>
      </c>
      <c r="AJ62" s="147"/>
      <c r="AK62" s="24">
        <v>0</v>
      </c>
      <c r="AL62" s="156"/>
      <c r="AM62" s="24">
        <v>0</v>
      </c>
      <c r="AN62" s="156"/>
      <c r="AO62" s="24">
        <v>78249</v>
      </c>
      <c r="AP62" s="156"/>
      <c r="AQ62" s="155">
        <f t="shared" si="15"/>
        <v>-88671</v>
      </c>
      <c r="AR62" s="147"/>
      <c r="AS62" s="156">
        <v>0</v>
      </c>
      <c r="AT62" s="156"/>
      <c r="AU62" s="156">
        <v>0</v>
      </c>
      <c r="AV62" s="156"/>
      <c r="AW62" s="155">
        <f t="shared" si="13"/>
        <v>3221277</v>
      </c>
      <c r="AX62" s="156"/>
      <c r="AY62" s="161" t="s">
        <v>54</v>
      </c>
      <c r="AZ62" s="156"/>
      <c r="BA62" s="24">
        <v>1895000</v>
      </c>
      <c r="BB62" s="156"/>
      <c r="BC62" s="24">
        <v>0</v>
      </c>
      <c r="BD62" s="156"/>
      <c r="BE62" s="24">
        <f>253809</f>
        <v>253809</v>
      </c>
      <c r="BF62" s="156"/>
      <c r="BG62" s="24">
        <v>16632</v>
      </c>
      <c r="BH62" s="156"/>
      <c r="BI62" s="156"/>
      <c r="BJ62" s="156"/>
      <c r="BK62" s="155">
        <f t="shared" si="14"/>
        <v>2165441</v>
      </c>
      <c r="BL62" s="83"/>
    </row>
    <row r="63" spans="1:64" ht="12.75">
      <c r="A63" s="77" t="s">
        <v>55</v>
      </c>
      <c r="B63" s="77"/>
      <c r="C63" s="155">
        <f t="shared" si="8"/>
        <v>15892303</v>
      </c>
      <c r="D63" s="155"/>
      <c r="E63" s="24">
        <f>147191697+9214278</f>
        <v>156405975</v>
      </c>
      <c r="F63" s="155"/>
      <c r="G63" s="24">
        <f>161367091+10931187</f>
        <v>172298278</v>
      </c>
      <c r="H63" s="155"/>
      <c r="I63" s="155">
        <f t="shared" si="9"/>
        <v>6522080</v>
      </c>
      <c r="J63" s="155"/>
      <c r="K63" s="24">
        <f>37850319+2124154</f>
        <v>39974473</v>
      </c>
      <c r="L63" s="155"/>
      <c r="M63" s="24">
        <f>42851434+3645119</f>
        <v>46496553</v>
      </c>
      <c r="N63" s="155"/>
      <c r="O63" s="24">
        <f>106738254+6362905</f>
        <v>113101159</v>
      </c>
      <c r="P63" s="155"/>
      <c r="Q63" s="24">
        <v>0</v>
      </c>
      <c r="R63" s="155"/>
      <c r="S63" s="24">
        <f>11777403+923163</f>
        <v>12700566</v>
      </c>
      <c r="T63" s="155"/>
      <c r="U63" s="155">
        <f t="shared" si="10"/>
        <v>125801725</v>
      </c>
      <c r="V63" s="155"/>
      <c r="W63" s="155">
        <f t="shared" si="11"/>
        <v>0</v>
      </c>
      <c r="X63" s="155"/>
      <c r="Y63" s="161" t="s">
        <v>55</v>
      </c>
      <c r="Z63" s="155"/>
      <c r="AA63" s="24">
        <f>12883886+7229799</f>
        <v>20113685</v>
      </c>
      <c r="AB63" s="156"/>
      <c r="AC63" s="24">
        <f>17247674+6954070-4660404-356779</f>
        <v>19184561</v>
      </c>
      <c r="AD63" s="156"/>
      <c r="AE63" s="24">
        <f>4660404+356779</f>
        <v>5017183</v>
      </c>
      <c r="AF63" s="156"/>
      <c r="AG63" s="155">
        <f t="shared" si="12"/>
        <v>-4088059</v>
      </c>
      <c r="AH63" s="147"/>
      <c r="AI63" s="24">
        <f>-1502511+202113</f>
        <v>-1300398</v>
      </c>
      <c r="AJ63" s="147"/>
      <c r="AK63" s="24">
        <v>0</v>
      </c>
      <c r="AL63" s="156"/>
      <c r="AM63" s="24">
        <v>0</v>
      </c>
      <c r="AN63" s="156"/>
      <c r="AO63" s="24">
        <v>4691201</v>
      </c>
      <c r="AP63" s="156"/>
      <c r="AQ63" s="155">
        <f t="shared" si="15"/>
        <v>-697256</v>
      </c>
      <c r="AR63" s="147"/>
      <c r="AS63" s="156">
        <v>0</v>
      </c>
      <c r="AT63" s="156"/>
      <c r="AU63" s="156">
        <v>0</v>
      </c>
      <c r="AV63" s="156"/>
      <c r="AW63" s="155">
        <f t="shared" si="13"/>
        <v>9370223</v>
      </c>
      <c r="AX63" s="156"/>
      <c r="AY63" s="161" t="s">
        <v>55</v>
      </c>
      <c r="AZ63" s="156"/>
      <c r="BA63" s="24">
        <v>0</v>
      </c>
      <c r="BB63" s="156"/>
      <c r="BC63" s="24">
        <v>0</v>
      </c>
      <c r="BD63" s="156"/>
      <c r="BE63" s="24">
        <f>37241199+2093088</f>
        <v>39334287</v>
      </c>
      <c r="BF63" s="156"/>
      <c r="BG63" s="24">
        <f>609120+31066</f>
        <v>640186</v>
      </c>
      <c r="BH63" s="156"/>
      <c r="BI63" s="156"/>
      <c r="BJ63" s="156"/>
      <c r="BK63" s="155">
        <f t="shared" si="14"/>
        <v>39974473</v>
      </c>
      <c r="BL63" s="83"/>
    </row>
    <row r="64" spans="1:65" ht="12.75" hidden="1">
      <c r="A64" s="32" t="s">
        <v>171</v>
      </c>
      <c r="B64" s="32"/>
      <c r="C64" s="155">
        <f t="shared" si="8"/>
        <v>0</v>
      </c>
      <c r="D64" s="155"/>
      <c r="E64" s="24">
        <v>0</v>
      </c>
      <c r="F64" s="155"/>
      <c r="G64" s="24">
        <v>0</v>
      </c>
      <c r="H64" s="155"/>
      <c r="I64" s="155">
        <f t="shared" si="9"/>
        <v>0</v>
      </c>
      <c r="J64" s="155"/>
      <c r="K64" s="24">
        <v>0</v>
      </c>
      <c r="L64" s="155"/>
      <c r="M64" s="24">
        <v>0</v>
      </c>
      <c r="N64" s="155"/>
      <c r="O64" s="24">
        <v>0</v>
      </c>
      <c r="P64" s="155"/>
      <c r="Q64" s="24">
        <v>0</v>
      </c>
      <c r="R64" s="155"/>
      <c r="S64" s="24">
        <v>0</v>
      </c>
      <c r="T64" s="155"/>
      <c r="U64" s="155">
        <f t="shared" si="10"/>
        <v>0</v>
      </c>
      <c r="V64" s="155"/>
      <c r="W64" s="155">
        <f t="shared" si="11"/>
        <v>0</v>
      </c>
      <c r="X64" s="155"/>
      <c r="Y64" s="146" t="s">
        <v>171</v>
      </c>
      <c r="Z64" s="155"/>
      <c r="AA64" s="24">
        <v>0</v>
      </c>
      <c r="AB64" s="156"/>
      <c r="AC64" s="24">
        <v>0</v>
      </c>
      <c r="AD64" s="156"/>
      <c r="AE64" s="24">
        <v>0</v>
      </c>
      <c r="AF64" s="156"/>
      <c r="AG64" s="155">
        <f t="shared" si="12"/>
        <v>0</v>
      </c>
      <c r="AH64" s="147"/>
      <c r="AI64" s="24">
        <v>0</v>
      </c>
      <c r="AJ64" s="147"/>
      <c r="AK64" s="24">
        <v>0</v>
      </c>
      <c r="AL64" s="156"/>
      <c r="AM64" s="24">
        <v>0</v>
      </c>
      <c r="AN64" s="156"/>
      <c r="AO64" s="24">
        <v>0</v>
      </c>
      <c r="AP64" s="156"/>
      <c r="AQ64" s="155">
        <f t="shared" si="15"/>
        <v>0</v>
      </c>
      <c r="AR64" s="147"/>
      <c r="AS64" s="156">
        <v>0</v>
      </c>
      <c r="AT64" s="156"/>
      <c r="AU64" s="156">
        <v>0</v>
      </c>
      <c r="AV64" s="156"/>
      <c r="AW64" s="155">
        <f t="shared" si="13"/>
        <v>0</v>
      </c>
      <c r="AX64" s="155"/>
      <c r="AY64" s="146" t="s">
        <v>171</v>
      </c>
      <c r="AZ64" s="155"/>
      <c r="BA64" s="24">
        <v>0</v>
      </c>
      <c r="BB64" s="156"/>
      <c r="BC64" s="24">
        <v>0</v>
      </c>
      <c r="BD64" s="156"/>
      <c r="BE64" s="24">
        <v>0</v>
      </c>
      <c r="BF64" s="156"/>
      <c r="BG64" s="24">
        <v>0</v>
      </c>
      <c r="BH64" s="156"/>
      <c r="BI64" s="156"/>
      <c r="BJ64" s="156"/>
      <c r="BK64" s="155">
        <f t="shared" si="14"/>
        <v>0</v>
      </c>
      <c r="BL64" s="79"/>
      <c r="BM64" s="79"/>
    </row>
    <row r="65" spans="1:64" ht="12.75" hidden="1">
      <c r="A65" s="77" t="s">
        <v>56</v>
      </c>
      <c r="B65" s="77"/>
      <c r="C65" s="155">
        <f t="shared" si="8"/>
        <v>0</v>
      </c>
      <c r="D65" s="155"/>
      <c r="E65" s="24">
        <v>0</v>
      </c>
      <c r="F65" s="155"/>
      <c r="G65" s="24">
        <v>0</v>
      </c>
      <c r="H65" s="155"/>
      <c r="I65" s="155">
        <f t="shared" si="9"/>
        <v>0</v>
      </c>
      <c r="J65" s="155"/>
      <c r="K65" s="24">
        <v>0</v>
      </c>
      <c r="L65" s="155"/>
      <c r="M65" s="24">
        <v>0</v>
      </c>
      <c r="N65" s="155"/>
      <c r="O65" s="24">
        <v>0</v>
      </c>
      <c r="P65" s="155"/>
      <c r="Q65" s="24">
        <v>0</v>
      </c>
      <c r="R65" s="155"/>
      <c r="S65" s="24">
        <v>0</v>
      </c>
      <c r="T65" s="155"/>
      <c r="U65" s="155">
        <f t="shared" si="10"/>
        <v>0</v>
      </c>
      <c r="V65" s="155"/>
      <c r="W65" s="155">
        <f t="shared" si="11"/>
        <v>0</v>
      </c>
      <c r="X65" s="155"/>
      <c r="Y65" s="161" t="s">
        <v>56</v>
      </c>
      <c r="Z65" s="155"/>
      <c r="AA65" s="24">
        <v>0</v>
      </c>
      <c r="AB65" s="156"/>
      <c r="AC65" s="24">
        <v>0</v>
      </c>
      <c r="AD65" s="156"/>
      <c r="AE65" s="24">
        <v>0</v>
      </c>
      <c r="AF65" s="156"/>
      <c r="AG65" s="155">
        <f t="shared" si="12"/>
        <v>0</v>
      </c>
      <c r="AH65" s="147"/>
      <c r="AI65" s="24">
        <v>0</v>
      </c>
      <c r="AJ65" s="147"/>
      <c r="AK65" s="24">
        <v>0</v>
      </c>
      <c r="AL65" s="156"/>
      <c r="AM65" s="24">
        <v>0</v>
      </c>
      <c r="AN65" s="156"/>
      <c r="AO65" s="24">
        <v>0</v>
      </c>
      <c r="AP65" s="156"/>
      <c r="AQ65" s="155">
        <f t="shared" si="15"/>
        <v>0</v>
      </c>
      <c r="AR65" s="147"/>
      <c r="AS65" s="156">
        <v>0</v>
      </c>
      <c r="AT65" s="156"/>
      <c r="AU65" s="156">
        <v>0</v>
      </c>
      <c r="AV65" s="156"/>
      <c r="AW65" s="155">
        <f t="shared" si="13"/>
        <v>0</v>
      </c>
      <c r="AX65" s="156"/>
      <c r="AY65" s="161" t="s">
        <v>56</v>
      </c>
      <c r="AZ65" s="156"/>
      <c r="BA65" s="24">
        <v>0</v>
      </c>
      <c r="BB65" s="156"/>
      <c r="BC65" s="24">
        <v>0</v>
      </c>
      <c r="BD65" s="156"/>
      <c r="BE65" s="24">
        <v>0</v>
      </c>
      <c r="BF65" s="156"/>
      <c r="BG65" s="24">
        <v>0</v>
      </c>
      <c r="BH65" s="156"/>
      <c r="BI65" s="156"/>
      <c r="BJ65" s="156"/>
      <c r="BK65" s="155">
        <f t="shared" si="14"/>
        <v>0</v>
      </c>
      <c r="BL65" s="79"/>
    </row>
    <row r="66" spans="1:64" ht="12.75">
      <c r="A66" s="77" t="s">
        <v>57</v>
      </c>
      <c r="B66" s="77"/>
      <c r="C66" s="155">
        <f t="shared" si="8"/>
        <v>1003168</v>
      </c>
      <c r="D66" s="155"/>
      <c r="E66" s="24">
        <v>16862849</v>
      </c>
      <c r="F66" s="155"/>
      <c r="G66" s="24">
        <v>17866017</v>
      </c>
      <c r="H66" s="155"/>
      <c r="I66" s="155">
        <f t="shared" si="9"/>
        <v>1225745</v>
      </c>
      <c r="J66" s="155"/>
      <c r="K66" s="24">
        <v>7529418</v>
      </c>
      <c r="L66" s="155"/>
      <c r="M66" s="24">
        <v>8755163</v>
      </c>
      <c r="N66" s="155"/>
      <c r="O66" s="24">
        <v>8315297</v>
      </c>
      <c r="P66" s="155"/>
      <c r="Q66" s="24">
        <v>0</v>
      </c>
      <c r="R66" s="155"/>
      <c r="S66" s="24">
        <v>795557</v>
      </c>
      <c r="T66" s="155"/>
      <c r="U66" s="155">
        <f t="shared" si="10"/>
        <v>9110854</v>
      </c>
      <c r="V66" s="155"/>
      <c r="W66" s="155">
        <f t="shared" si="11"/>
        <v>0</v>
      </c>
      <c r="X66" s="155"/>
      <c r="Y66" s="161" t="s">
        <v>57</v>
      </c>
      <c r="Z66" s="155"/>
      <c r="AA66" s="24">
        <v>2277358</v>
      </c>
      <c r="AB66" s="156"/>
      <c r="AC66" s="24">
        <f>2212736-358713</f>
        <v>1854023</v>
      </c>
      <c r="AD66" s="156"/>
      <c r="AE66" s="24">
        <v>358713</v>
      </c>
      <c r="AF66" s="156"/>
      <c r="AG66" s="155">
        <f t="shared" si="12"/>
        <v>64622</v>
      </c>
      <c r="AH66" s="147"/>
      <c r="AI66" s="24">
        <v>3672051</v>
      </c>
      <c r="AJ66" s="147"/>
      <c r="AK66" s="24">
        <v>0</v>
      </c>
      <c r="AL66" s="156"/>
      <c r="AM66" s="24">
        <v>0</v>
      </c>
      <c r="AN66" s="156"/>
      <c r="AO66" s="24">
        <v>2279318</v>
      </c>
      <c r="AP66" s="156"/>
      <c r="AQ66" s="155">
        <f t="shared" si="15"/>
        <v>6015991</v>
      </c>
      <c r="AR66" s="147"/>
      <c r="AS66" s="156">
        <v>0</v>
      </c>
      <c r="AT66" s="156"/>
      <c r="AU66" s="156">
        <v>0</v>
      </c>
      <c r="AV66" s="156"/>
      <c r="AW66" s="155">
        <f t="shared" si="13"/>
        <v>-222577</v>
      </c>
      <c r="AX66" s="156"/>
      <c r="AY66" s="161" t="s">
        <v>57</v>
      </c>
      <c r="AZ66" s="156"/>
      <c r="BA66" s="24">
        <f>4471997</f>
        <v>4471997</v>
      </c>
      <c r="BB66" s="156"/>
      <c r="BC66" s="24">
        <v>0</v>
      </c>
      <c r="BD66" s="156"/>
      <c r="BE66" s="24">
        <f>2655212+390050</f>
        <v>3045262</v>
      </c>
      <c r="BF66" s="156"/>
      <c r="BG66" s="24">
        <f>12159</f>
        <v>12159</v>
      </c>
      <c r="BH66" s="156"/>
      <c r="BI66" s="156"/>
      <c r="BJ66" s="156"/>
      <c r="BK66" s="155">
        <f t="shared" si="14"/>
        <v>7529418</v>
      </c>
      <c r="BL66" s="83"/>
    </row>
    <row r="67" spans="1:64" ht="12.75" hidden="1">
      <c r="A67" s="77" t="s">
        <v>58</v>
      </c>
      <c r="B67" s="77"/>
      <c r="C67" s="35">
        <f t="shared" si="8"/>
        <v>0</v>
      </c>
      <c r="D67" s="35"/>
      <c r="E67" s="24">
        <v>0</v>
      </c>
      <c r="F67" s="35"/>
      <c r="G67" s="24">
        <v>0</v>
      </c>
      <c r="H67" s="35"/>
      <c r="I67" s="35">
        <f t="shared" si="9"/>
        <v>0</v>
      </c>
      <c r="J67" s="35"/>
      <c r="K67" s="24">
        <v>0</v>
      </c>
      <c r="L67" s="35"/>
      <c r="M67" s="24">
        <v>0</v>
      </c>
      <c r="N67" s="35"/>
      <c r="O67" s="24">
        <v>0</v>
      </c>
      <c r="P67" s="35"/>
      <c r="Q67" s="24">
        <v>0</v>
      </c>
      <c r="R67" s="35"/>
      <c r="S67" s="24">
        <v>0</v>
      </c>
      <c r="T67" s="35"/>
      <c r="U67" s="35">
        <f t="shared" si="10"/>
        <v>0</v>
      </c>
      <c r="V67" s="35"/>
      <c r="W67" s="35">
        <f t="shared" si="11"/>
        <v>0</v>
      </c>
      <c r="X67" s="35"/>
      <c r="Y67" s="81" t="s">
        <v>58</v>
      </c>
      <c r="Z67" s="35"/>
      <c r="AA67" s="24">
        <v>0</v>
      </c>
      <c r="AB67" s="17"/>
      <c r="AC67" s="24">
        <v>0</v>
      </c>
      <c r="AD67" s="17"/>
      <c r="AE67" s="24">
        <v>0</v>
      </c>
      <c r="AF67" s="17"/>
      <c r="AG67" s="35">
        <f t="shared" si="12"/>
        <v>0</v>
      </c>
      <c r="AH67" s="40"/>
      <c r="AI67" s="24">
        <v>0</v>
      </c>
      <c r="AJ67" s="40"/>
      <c r="AK67" s="24">
        <v>0</v>
      </c>
      <c r="AL67" s="17"/>
      <c r="AM67" s="24">
        <v>0</v>
      </c>
      <c r="AN67" s="17"/>
      <c r="AO67" s="24">
        <v>0</v>
      </c>
      <c r="AP67" s="17"/>
      <c r="AQ67" s="35">
        <f t="shared" si="15"/>
        <v>0</v>
      </c>
      <c r="AR67" s="40"/>
      <c r="AS67" s="17">
        <v>0</v>
      </c>
      <c r="AT67" s="17"/>
      <c r="AU67" s="17">
        <v>0</v>
      </c>
      <c r="AV67" s="17"/>
      <c r="AW67" s="35">
        <f t="shared" si="13"/>
        <v>0</v>
      </c>
      <c r="AX67" s="17"/>
      <c r="AY67" s="81" t="s">
        <v>58</v>
      </c>
      <c r="AZ67" s="17"/>
      <c r="BA67" s="24">
        <v>0</v>
      </c>
      <c r="BB67" s="17"/>
      <c r="BC67" s="24">
        <v>0</v>
      </c>
      <c r="BD67" s="17"/>
      <c r="BE67" s="24">
        <v>0</v>
      </c>
      <c r="BF67" s="17"/>
      <c r="BG67" s="24">
        <v>0</v>
      </c>
      <c r="BH67" s="17"/>
      <c r="BI67" s="17"/>
      <c r="BJ67" s="17"/>
      <c r="BK67" s="35">
        <f t="shared" si="14"/>
        <v>0</v>
      </c>
      <c r="BL67" s="79"/>
    </row>
    <row r="68" spans="1:64" ht="12.75">
      <c r="A68" s="77" t="s">
        <v>59</v>
      </c>
      <c r="B68" s="77"/>
      <c r="C68" s="35">
        <f t="shared" si="8"/>
        <v>48482136</v>
      </c>
      <c r="D68" s="35"/>
      <c r="E68" s="24">
        <v>45005839</v>
      </c>
      <c r="F68" s="35"/>
      <c r="G68" s="24">
        <v>93487975</v>
      </c>
      <c r="H68" s="35"/>
      <c r="I68" s="35">
        <f t="shared" si="9"/>
        <v>3879916</v>
      </c>
      <c r="J68" s="35"/>
      <c r="K68" s="24">
        <v>4943788</v>
      </c>
      <c r="L68" s="35"/>
      <c r="M68" s="24">
        <v>8823704</v>
      </c>
      <c r="N68" s="35"/>
      <c r="O68" s="24">
        <v>40348313</v>
      </c>
      <c r="P68" s="35"/>
      <c r="Q68" s="24">
        <f>12701780+291561</f>
        <v>12993341</v>
      </c>
      <c r="R68" s="35"/>
      <c r="S68" s="24">
        <v>31322617</v>
      </c>
      <c r="T68" s="35"/>
      <c r="U68" s="35">
        <f t="shared" si="10"/>
        <v>84664271</v>
      </c>
      <c r="V68" s="35"/>
      <c r="W68" s="35">
        <f t="shared" si="11"/>
        <v>0</v>
      </c>
      <c r="X68" s="35"/>
      <c r="Y68" s="81" t="s">
        <v>59</v>
      </c>
      <c r="Z68" s="35"/>
      <c r="AA68" s="24">
        <v>22754007</v>
      </c>
      <c r="AB68" s="17"/>
      <c r="AC68" s="24">
        <f>18438425-2764142</f>
        <v>15674283</v>
      </c>
      <c r="AD68" s="17"/>
      <c r="AE68" s="24">
        <v>2764145</v>
      </c>
      <c r="AF68" s="17"/>
      <c r="AG68" s="35">
        <f t="shared" si="12"/>
        <v>4315579</v>
      </c>
      <c r="AH68" s="40"/>
      <c r="AI68" s="24">
        <v>-441525</v>
      </c>
      <c r="AJ68" s="40"/>
      <c r="AK68" s="24">
        <v>622478</v>
      </c>
      <c r="AL68" s="17"/>
      <c r="AM68" s="24">
        <v>0</v>
      </c>
      <c r="AN68" s="17"/>
      <c r="AO68" s="24">
        <v>0</v>
      </c>
      <c r="AP68" s="17"/>
      <c r="AQ68" s="35">
        <f t="shared" si="15"/>
        <v>4496532</v>
      </c>
      <c r="AR68" s="40"/>
      <c r="AS68" s="17">
        <v>0</v>
      </c>
      <c r="AT68" s="17"/>
      <c r="AU68" s="17">
        <v>0</v>
      </c>
      <c r="AV68" s="17"/>
      <c r="AW68" s="35">
        <f t="shared" si="13"/>
        <v>44602220</v>
      </c>
      <c r="AX68" s="17"/>
      <c r="AY68" s="81" t="s">
        <v>59</v>
      </c>
      <c r="AZ68" s="17"/>
      <c r="BA68" s="24">
        <v>0</v>
      </c>
      <c r="BB68" s="17"/>
      <c r="BC68" s="24">
        <v>4284651</v>
      </c>
      <c r="BD68" s="17"/>
      <c r="BE68" s="24">
        <v>0</v>
      </c>
      <c r="BF68" s="17"/>
      <c r="BG68" s="24">
        <f>243256+415881</f>
        <v>659137</v>
      </c>
      <c r="BH68" s="17"/>
      <c r="BI68" s="17"/>
      <c r="BJ68" s="17"/>
      <c r="BK68" s="35">
        <f t="shared" si="14"/>
        <v>4943788</v>
      </c>
      <c r="BL68" s="83"/>
    </row>
    <row r="69" spans="1:64" ht="12.75" hidden="1">
      <c r="A69" s="77" t="s">
        <v>60</v>
      </c>
      <c r="B69" s="77"/>
      <c r="C69" s="35">
        <f t="shared" si="8"/>
        <v>0</v>
      </c>
      <c r="D69" s="35"/>
      <c r="E69" s="24">
        <v>0</v>
      </c>
      <c r="F69" s="35"/>
      <c r="G69" s="24">
        <v>0</v>
      </c>
      <c r="H69" s="35"/>
      <c r="I69" s="35">
        <f t="shared" si="9"/>
        <v>0</v>
      </c>
      <c r="J69" s="35"/>
      <c r="K69" s="24">
        <v>0</v>
      </c>
      <c r="L69" s="35"/>
      <c r="M69" s="24">
        <v>0</v>
      </c>
      <c r="N69" s="35"/>
      <c r="O69" s="24">
        <v>0</v>
      </c>
      <c r="P69" s="35"/>
      <c r="Q69" s="24">
        <v>0</v>
      </c>
      <c r="R69" s="35"/>
      <c r="S69" s="24">
        <v>0</v>
      </c>
      <c r="T69" s="35"/>
      <c r="U69" s="35">
        <f t="shared" si="10"/>
        <v>0</v>
      </c>
      <c r="V69" s="35"/>
      <c r="W69" s="35">
        <f t="shared" si="11"/>
        <v>0</v>
      </c>
      <c r="X69" s="35"/>
      <c r="Y69" s="81" t="s">
        <v>60</v>
      </c>
      <c r="Z69" s="35"/>
      <c r="AA69" s="24">
        <v>0</v>
      </c>
      <c r="AB69" s="17"/>
      <c r="AC69" s="24">
        <v>0</v>
      </c>
      <c r="AD69" s="17"/>
      <c r="AE69" s="24">
        <v>0</v>
      </c>
      <c r="AF69" s="17"/>
      <c r="AG69" s="35">
        <f t="shared" si="12"/>
        <v>0</v>
      </c>
      <c r="AH69" s="40"/>
      <c r="AI69" s="24">
        <v>0</v>
      </c>
      <c r="AJ69" s="40"/>
      <c r="AK69" s="24">
        <v>0</v>
      </c>
      <c r="AL69" s="17"/>
      <c r="AM69" s="24">
        <v>0</v>
      </c>
      <c r="AN69" s="17"/>
      <c r="AO69" s="24">
        <v>0</v>
      </c>
      <c r="AP69" s="17"/>
      <c r="AQ69" s="35">
        <f t="shared" si="15"/>
        <v>0</v>
      </c>
      <c r="AR69" s="40"/>
      <c r="AS69" s="17">
        <v>0</v>
      </c>
      <c r="AT69" s="17"/>
      <c r="AU69" s="17">
        <v>0</v>
      </c>
      <c r="AV69" s="17"/>
      <c r="AW69" s="35">
        <f t="shared" si="13"/>
        <v>0</v>
      </c>
      <c r="AX69" s="35"/>
      <c r="AY69" s="81" t="s">
        <v>60</v>
      </c>
      <c r="AZ69" s="35"/>
      <c r="BA69" s="24">
        <v>0</v>
      </c>
      <c r="BB69" s="17"/>
      <c r="BC69" s="24">
        <v>0</v>
      </c>
      <c r="BD69" s="17"/>
      <c r="BE69" s="24">
        <v>0</v>
      </c>
      <c r="BF69" s="17"/>
      <c r="BG69" s="24">
        <v>0</v>
      </c>
      <c r="BH69" s="17"/>
      <c r="BI69" s="17"/>
      <c r="BJ69" s="17"/>
      <c r="BK69" s="35">
        <f t="shared" si="14"/>
        <v>0</v>
      </c>
      <c r="BL69" s="79"/>
    </row>
    <row r="70" spans="1:64" ht="12.75" hidden="1">
      <c r="A70" s="77" t="s">
        <v>97</v>
      </c>
      <c r="B70" s="77"/>
      <c r="C70" s="35">
        <f t="shared" si="8"/>
        <v>0</v>
      </c>
      <c r="D70" s="35"/>
      <c r="E70" s="24">
        <v>0</v>
      </c>
      <c r="F70" s="35"/>
      <c r="G70" s="24">
        <v>0</v>
      </c>
      <c r="H70" s="35"/>
      <c r="I70" s="35">
        <f t="shared" si="9"/>
        <v>0</v>
      </c>
      <c r="J70" s="35"/>
      <c r="K70" s="24">
        <v>0</v>
      </c>
      <c r="L70" s="35"/>
      <c r="M70" s="24">
        <v>0</v>
      </c>
      <c r="N70" s="35"/>
      <c r="O70" s="24">
        <v>0</v>
      </c>
      <c r="P70" s="35"/>
      <c r="Q70" s="24">
        <v>0</v>
      </c>
      <c r="R70" s="35"/>
      <c r="S70" s="24">
        <v>0</v>
      </c>
      <c r="T70" s="35"/>
      <c r="U70" s="35">
        <f t="shared" si="10"/>
        <v>0</v>
      </c>
      <c r="V70" s="35"/>
      <c r="W70" s="35">
        <f t="shared" si="11"/>
        <v>0</v>
      </c>
      <c r="X70" s="35"/>
      <c r="Y70" s="81" t="s">
        <v>97</v>
      </c>
      <c r="Z70" s="35"/>
      <c r="AA70" s="24">
        <v>0</v>
      </c>
      <c r="AB70" s="17"/>
      <c r="AC70" s="24">
        <v>0</v>
      </c>
      <c r="AD70" s="17"/>
      <c r="AE70" s="24">
        <v>0</v>
      </c>
      <c r="AF70" s="17"/>
      <c r="AG70" s="35">
        <f t="shared" si="12"/>
        <v>0</v>
      </c>
      <c r="AH70" s="40"/>
      <c r="AI70" s="24">
        <v>0</v>
      </c>
      <c r="AJ70" s="40"/>
      <c r="AK70" s="24">
        <v>0</v>
      </c>
      <c r="AL70" s="17"/>
      <c r="AM70" s="24">
        <v>0</v>
      </c>
      <c r="AN70" s="17"/>
      <c r="AO70" s="24">
        <v>0</v>
      </c>
      <c r="AP70" s="17"/>
      <c r="AQ70" s="35">
        <f t="shared" si="15"/>
        <v>0</v>
      </c>
      <c r="AR70" s="40"/>
      <c r="AS70" s="17">
        <v>0</v>
      </c>
      <c r="AT70" s="17"/>
      <c r="AU70" s="17">
        <v>0</v>
      </c>
      <c r="AV70" s="17"/>
      <c r="AW70" s="35">
        <f t="shared" si="13"/>
        <v>0</v>
      </c>
      <c r="AX70" s="17"/>
      <c r="AY70" s="81" t="s">
        <v>97</v>
      </c>
      <c r="AZ70" s="17"/>
      <c r="BA70" s="24">
        <v>0</v>
      </c>
      <c r="BB70" s="17"/>
      <c r="BC70" s="24">
        <v>0</v>
      </c>
      <c r="BD70" s="17"/>
      <c r="BE70" s="24">
        <v>0</v>
      </c>
      <c r="BF70" s="17"/>
      <c r="BG70" s="24">
        <v>0</v>
      </c>
      <c r="BH70" s="17"/>
      <c r="BI70" s="17"/>
      <c r="BJ70" s="17"/>
      <c r="BK70" s="35">
        <f t="shared" si="14"/>
        <v>0</v>
      </c>
      <c r="BL70" s="17"/>
    </row>
    <row r="71" spans="1:64" ht="12.75">
      <c r="A71" s="77" t="s">
        <v>61</v>
      </c>
      <c r="B71" s="77"/>
      <c r="C71" s="35">
        <f t="shared" si="8"/>
        <v>8942411</v>
      </c>
      <c r="D71" s="35"/>
      <c r="E71" s="24">
        <v>50623295</v>
      </c>
      <c r="F71" s="35"/>
      <c r="G71" s="24">
        <v>59565706</v>
      </c>
      <c r="H71" s="35"/>
      <c r="I71" s="35">
        <f t="shared" si="9"/>
        <v>1454075</v>
      </c>
      <c r="J71" s="35"/>
      <c r="K71" s="24">
        <v>24445017</v>
      </c>
      <c r="L71" s="35"/>
      <c r="M71" s="24">
        <v>25899092</v>
      </c>
      <c r="N71" s="35"/>
      <c r="O71" s="24">
        <v>25343491</v>
      </c>
      <c r="P71" s="35"/>
      <c r="Q71" s="24">
        <v>64830</v>
      </c>
      <c r="R71" s="35"/>
      <c r="S71" s="24">
        <v>8258293</v>
      </c>
      <c r="T71" s="35"/>
      <c r="U71" s="35">
        <f t="shared" si="10"/>
        <v>33666614</v>
      </c>
      <c r="V71" s="35"/>
      <c r="W71" s="35">
        <f t="shared" si="11"/>
        <v>0</v>
      </c>
      <c r="X71" s="35"/>
      <c r="Y71" s="81" t="s">
        <v>61</v>
      </c>
      <c r="Z71" s="35"/>
      <c r="AA71" s="24">
        <v>3965398</v>
      </c>
      <c r="AB71" s="17"/>
      <c r="AC71" s="24">
        <f>2697959-766105</f>
        <v>1931854</v>
      </c>
      <c r="AD71" s="17"/>
      <c r="AE71" s="24">
        <v>766105</v>
      </c>
      <c r="AF71" s="17"/>
      <c r="AG71" s="35">
        <f t="shared" si="12"/>
        <v>1267439</v>
      </c>
      <c r="AH71" s="40"/>
      <c r="AI71" s="24">
        <v>-1075834</v>
      </c>
      <c r="AJ71" s="40"/>
      <c r="AK71" s="24">
        <v>74861</v>
      </c>
      <c r="AL71" s="17"/>
      <c r="AM71" s="24">
        <v>41793</v>
      </c>
      <c r="AN71" s="17"/>
      <c r="AO71" s="24">
        <f>3579013+1783153</f>
        <v>5362166</v>
      </c>
      <c r="AP71" s="17"/>
      <c r="AQ71" s="35">
        <f t="shared" si="15"/>
        <v>5586839</v>
      </c>
      <c r="AR71" s="40"/>
      <c r="AS71" s="17">
        <v>0</v>
      </c>
      <c r="AT71" s="17"/>
      <c r="AU71" s="17">
        <v>0</v>
      </c>
      <c r="AV71" s="17"/>
      <c r="AW71" s="35">
        <f t="shared" si="13"/>
        <v>7488336</v>
      </c>
      <c r="AX71" s="17"/>
      <c r="AY71" s="81" t="s">
        <v>61</v>
      </c>
      <c r="AZ71" s="17"/>
      <c r="BA71" s="24">
        <f>11707342</f>
        <v>11707342</v>
      </c>
      <c r="BB71" s="17"/>
      <c r="BC71" s="24">
        <v>5329400</v>
      </c>
      <c r="BD71" s="17"/>
      <c r="BE71" s="24">
        <v>6651136</v>
      </c>
      <c r="BF71" s="17"/>
      <c r="BG71" s="24">
        <f>7139+750000</f>
        <v>757139</v>
      </c>
      <c r="BH71" s="17"/>
      <c r="BI71" s="17"/>
      <c r="BJ71" s="17"/>
      <c r="BK71" s="35">
        <f t="shared" si="14"/>
        <v>24445017</v>
      </c>
      <c r="BL71" s="79"/>
    </row>
    <row r="72" spans="1:64" ht="12.75" hidden="1">
      <c r="A72" s="77" t="s">
        <v>63</v>
      </c>
      <c r="B72" s="77"/>
      <c r="C72" s="35">
        <f t="shared" si="8"/>
        <v>0</v>
      </c>
      <c r="D72" s="35"/>
      <c r="E72" s="24">
        <v>0</v>
      </c>
      <c r="F72" s="35"/>
      <c r="G72" s="24">
        <v>0</v>
      </c>
      <c r="H72" s="35"/>
      <c r="I72" s="35">
        <f t="shared" si="9"/>
        <v>0</v>
      </c>
      <c r="J72" s="35"/>
      <c r="K72" s="24">
        <v>0</v>
      </c>
      <c r="L72" s="35"/>
      <c r="M72" s="24">
        <v>0</v>
      </c>
      <c r="N72" s="35"/>
      <c r="O72" s="24">
        <v>0</v>
      </c>
      <c r="P72" s="35"/>
      <c r="Q72" s="24">
        <v>0</v>
      </c>
      <c r="R72" s="35"/>
      <c r="S72" s="24">
        <v>0</v>
      </c>
      <c r="T72" s="35"/>
      <c r="U72" s="35">
        <f t="shared" si="10"/>
        <v>0</v>
      </c>
      <c r="V72" s="35"/>
      <c r="W72" s="35">
        <f t="shared" si="11"/>
        <v>0</v>
      </c>
      <c r="X72" s="35"/>
      <c r="Y72" s="81" t="s">
        <v>63</v>
      </c>
      <c r="Z72" s="35"/>
      <c r="AA72" s="24">
        <v>0</v>
      </c>
      <c r="AB72" s="17"/>
      <c r="AC72" s="24">
        <v>0</v>
      </c>
      <c r="AD72" s="17"/>
      <c r="AE72" s="24">
        <v>0</v>
      </c>
      <c r="AF72" s="17"/>
      <c r="AG72" s="35">
        <f t="shared" si="12"/>
        <v>0</v>
      </c>
      <c r="AH72" s="40"/>
      <c r="AI72" s="24">
        <v>0</v>
      </c>
      <c r="AJ72" s="40"/>
      <c r="AK72" s="24">
        <v>0</v>
      </c>
      <c r="AL72" s="17"/>
      <c r="AM72" s="24">
        <v>0</v>
      </c>
      <c r="AN72" s="17"/>
      <c r="AO72" s="24">
        <v>0</v>
      </c>
      <c r="AP72" s="17"/>
      <c r="AQ72" s="35">
        <f t="shared" si="15"/>
        <v>0</v>
      </c>
      <c r="AR72" s="40"/>
      <c r="AS72" s="17">
        <v>0</v>
      </c>
      <c r="AT72" s="17"/>
      <c r="AU72" s="17">
        <v>0</v>
      </c>
      <c r="AV72" s="17"/>
      <c r="AW72" s="35">
        <f t="shared" si="13"/>
        <v>0</v>
      </c>
      <c r="AX72" s="17"/>
      <c r="AY72" s="81" t="s">
        <v>63</v>
      </c>
      <c r="AZ72" s="17"/>
      <c r="BA72" s="24">
        <v>0</v>
      </c>
      <c r="BB72" s="17"/>
      <c r="BC72" s="24">
        <v>0</v>
      </c>
      <c r="BD72" s="17"/>
      <c r="BE72" s="24">
        <v>0</v>
      </c>
      <c r="BF72" s="17"/>
      <c r="BG72" s="24">
        <v>0</v>
      </c>
      <c r="BH72" s="17"/>
      <c r="BI72" s="17"/>
      <c r="BJ72" s="17"/>
      <c r="BK72" s="35">
        <f t="shared" si="14"/>
        <v>0</v>
      </c>
      <c r="BL72" s="79"/>
    </row>
    <row r="73" spans="1:64" ht="12.75" hidden="1">
      <c r="A73" s="77" t="s">
        <v>132</v>
      </c>
      <c r="B73" s="77"/>
      <c r="C73" s="35">
        <f t="shared" si="8"/>
        <v>0</v>
      </c>
      <c r="D73" s="35"/>
      <c r="E73" s="24">
        <v>0</v>
      </c>
      <c r="F73" s="35"/>
      <c r="G73" s="24">
        <v>0</v>
      </c>
      <c r="H73" s="35"/>
      <c r="I73" s="35">
        <f t="shared" si="9"/>
        <v>0</v>
      </c>
      <c r="J73" s="35"/>
      <c r="K73" s="24">
        <v>0</v>
      </c>
      <c r="L73" s="35"/>
      <c r="M73" s="24">
        <v>0</v>
      </c>
      <c r="N73" s="35"/>
      <c r="O73" s="24">
        <v>0</v>
      </c>
      <c r="P73" s="35"/>
      <c r="Q73" s="24">
        <v>0</v>
      </c>
      <c r="R73" s="35"/>
      <c r="S73" s="24">
        <v>0</v>
      </c>
      <c r="T73" s="35"/>
      <c r="U73" s="35">
        <f t="shared" si="10"/>
        <v>0</v>
      </c>
      <c r="V73" s="35"/>
      <c r="W73" s="35">
        <f t="shared" si="11"/>
        <v>0</v>
      </c>
      <c r="X73" s="35"/>
      <c r="Y73" s="81" t="s">
        <v>132</v>
      </c>
      <c r="Z73" s="35"/>
      <c r="AA73" s="24">
        <v>0</v>
      </c>
      <c r="AB73" s="17"/>
      <c r="AC73" s="24">
        <v>0</v>
      </c>
      <c r="AD73" s="17"/>
      <c r="AE73" s="24">
        <v>0</v>
      </c>
      <c r="AF73" s="17"/>
      <c r="AG73" s="35">
        <f t="shared" si="12"/>
        <v>0</v>
      </c>
      <c r="AH73" s="40"/>
      <c r="AI73" s="24">
        <v>0</v>
      </c>
      <c r="AJ73" s="40"/>
      <c r="AK73" s="24">
        <v>0</v>
      </c>
      <c r="AL73" s="17"/>
      <c r="AM73" s="24">
        <v>0</v>
      </c>
      <c r="AN73" s="17"/>
      <c r="AO73" s="24">
        <v>0</v>
      </c>
      <c r="AP73" s="17"/>
      <c r="AQ73" s="35">
        <f t="shared" si="15"/>
        <v>0</v>
      </c>
      <c r="AR73" s="40"/>
      <c r="AS73" s="17">
        <v>0</v>
      </c>
      <c r="AT73" s="17"/>
      <c r="AU73" s="17">
        <v>0</v>
      </c>
      <c r="AV73" s="17"/>
      <c r="AW73" s="35">
        <f t="shared" si="13"/>
        <v>0</v>
      </c>
      <c r="AX73" s="35"/>
      <c r="AY73" s="81" t="s">
        <v>132</v>
      </c>
      <c r="AZ73" s="35"/>
      <c r="BA73" s="24">
        <v>0</v>
      </c>
      <c r="BB73" s="17"/>
      <c r="BC73" s="24">
        <v>0</v>
      </c>
      <c r="BD73" s="17"/>
      <c r="BE73" s="24">
        <v>0</v>
      </c>
      <c r="BF73" s="17"/>
      <c r="BG73" s="24">
        <v>0</v>
      </c>
      <c r="BH73" s="17"/>
      <c r="BI73" s="17"/>
      <c r="BJ73" s="17"/>
      <c r="BK73" s="35">
        <f t="shared" si="14"/>
        <v>0</v>
      </c>
      <c r="BL73" s="79"/>
    </row>
    <row r="74" spans="1:64" ht="12.75" hidden="1">
      <c r="A74" s="77" t="s">
        <v>64</v>
      </c>
      <c r="B74" s="77"/>
      <c r="C74" s="35">
        <f t="shared" si="8"/>
        <v>0</v>
      </c>
      <c r="D74" s="35"/>
      <c r="E74" s="24">
        <v>0</v>
      </c>
      <c r="F74" s="35"/>
      <c r="G74" s="24">
        <v>0</v>
      </c>
      <c r="H74" s="35"/>
      <c r="I74" s="35">
        <f t="shared" si="9"/>
        <v>0</v>
      </c>
      <c r="J74" s="35"/>
      <c r="K74" s="24">
        <v>0</v>
      </c>
      <c r="L74" s="35"/>
      <c r="M74" s="24">
        <v>0</v>
      </c>
      <c r="N74" s="35"/>
      <c r="O74" s="24">
        <v>0</v>
      </c>
      <c r="P74" s="35"/>
      <c r="Q74" s="24">
        <v>0</v>
      </c>
      <c r="R74" s="35"/>
      <c r="S74" s="24">
        <v>0</v>
      </c>
      <c r="T74" s="35"/>
      <c r="U74" s="35">
        <f t="shared" si="10"/>
        <v>0</v>
      </c>
      <c r="V74" s="35"/>
      <c r="W74" s="35">
        <f t="shared" si="11"/>
        <v>0</v>
      </c>
      <c r="X74" s="35"/>
      <c r="Y74" s="81" t="s">
        <v>64</v>
      </c>
      <c r="Z74" s="35"/>
      <c r="AA74" s="24">
        <v>0</v>
      </c>
      <c r="AB74" s="17"/>
      <c r="AC74" s="24">
        <v>0</v>
      </c>
      <c r="AD74" s="17"/>
      <c r="AE74" s="24">
        <v>0</v>
      </c>
      <c r="AF74" s="17"/>
      <c r="AG74" s="35">
        <f t="shared" si="12"/>
        <v>0</v>
      </c>
      <c r="AH74" s="40"/>
      <c r="AI74" s="24">
        <v>0</v>
      </c>
      <c r="AJ74" s="40"/>
      <c r="AK74" s="24">
        <v>0</v>
      </c>
      <c r="AL74" s="17"/>
      <c r="AM74" s="24">
        <v>0</v>
      </c>
      <c r="AN74" s="17"/>
      <c r="AO74" s="24">
        <v>0</v>
      </c>
      <c r="AP74" s="17"/>
      <c r="AQ74" s="35">
        <f t="shared" si="15"/>
        <v>0</v>
      </c>
      <c r="AR74" s="40"/>
      <c r="AS74" s="17">
        <v>0</v>
      </c>
      <c r="AT74" s="17"/>
      <c r="AU74" s="17">
        <v>0</v>
      </c>
      <c r="AV74" s="17"/>
      <c r="AW74" s="35">
        <f t="shared" si="13"/>
        <v>0</v>
      </c>
      <c r="AX74" s="35"/>
      <c r="AY74" s="81" t="s">
        <v>64</v>
      </c>
      <c r="AZ74" s="35"/>
      <c r="BA74" s="24">
        <v>0</v>
      </c>
      <c r="BB74" s="17"/>
      <c r="BC74" s="24">
        <v>0</v>
      </c>
      <c r="BD74" s="17"/>
      <c r="BE74" s="24">
        <v>0</v>
      </c>
      <c r="BF74" s="17"/>
      <c r="BG74" s="24">
        <v>0</v>
      </c>
      <c r="BH74" s="17"/>
      <c r="BI74" s="17"/>
      <c r="BJ74" s="17"/>
      <c r="BK74" s="35">
        <f t="shared" si="14"/>
        <v>0</v>
      </c>
      <c r="BL74" s="79"/>
    </row>
    <row r="75" spans="1:64" ht="12.75" hidden="1">
      <c r="A75" s="77" t="s">
        <v>65</v>
      </c>
      <c r="B75" s="77"/>
      <c r="C75" s="35">
        <f t="shared" si="8"/>
        <v>0</v>
      </c>
      <c r="D75" s="35"/>
      <c r="E75" s="24">
        <v>0</v>
      </c>
      <c r="F75" s="35"/>
      <c r="G75" s="24">
        <v>0</v>
      </c>
      <c r="H75" s="35"/>
      <c r="I75" s="35">
        <f t="shared" si="9"/>
        <v>0</v>
      </c>
      <c r="J75" s="35"/>
      <c r="K75" s="24">
        <v>0</v>
      </c>
      <c r="L75" s="35"/>
      <c r="M75" s="24">
        <v>0</v>
      </c>
      <c r="N75" s="35"/>
      <c r="O75" s="24">
        <v>0</v>
      </c>
      <c r="P75" s="35"/>
      <c r="Q75" s="24">
        <v>0</v>
      </c>
      <c r="R75" s="35"/>
      <c r="S75" s="24">
        <v>0</v>
      </c>
      <c r="T75" s="35"/>
      <c r="U75" s="35">
        <f t="shared" si="10"/>
        <v>0</v>
      </c>
      <c r="V75" s="35"/>
      <c r="W75" s="35">
        <f t="shared" si="11"/>
        <v>0</v>
      </c>
      <c r="X75" s="35"/>
      <c r="Y75" s="81" t="s">
        <v>65</v>
      </c>
      <c r="Z75" s="35"/>
      <c r="AA75" s="24">
        <v>0</v>
      </c>
      <c r="AB75" s="17"/>
      <c r="AC75" s="24">
        <v>0</v>
      </c>
      <c r="AD75" s="17"/>
      <c r="AE75" s="24">
        <v>0</v>
      </c>
      <c r="AF75" s="17"/>
      <c r="AG75" s="35">
        <f t="shared" si="12"/>
        <v>0</v>
      </c>
      <c r="AH75" s="40"/>
      <c r="AI75" s="24">
        <v>0</v>
      </c>
      <c r="AJ75" s="40"/>
      <c r="AK75" s="24">
        <v>0</v>
      </c>
      <c r="AL75" s="17"/>
      <c r="AM75" s="24">
        <v>0</v>
      </c>
      <c r="AN75" s="17"/>
      <c r="AO75" s="24">
        <v>0</v>
      </c>
      <c r="AP75" s="17"/>
      <c r="AQ75" s="35">
        <f t="shared" si="15"/>
        <v>0</v>
      </c>
      <c r="AR75" s="40"/>
      <c r="AS75" s="17">
        <v>0</v>
      </c>
      <c r="AT75" s="17"/>
      <c r="AU75" s="17">
        <v>0</v>
      </c>
      <c r="AV75" s="17"/>
      <c r="AW75" s="35">
        <f t="shared" si="13"/>
        <v>0</v>
      </c>
      <c r="AX75" s="17"/>
      <c r="AY75" s="81" t="s">
        <v>65</v>
      </c>
      <c r="AZ75" s="17"/>
      <c r="BA75" s="24">
        <v>0</v>
      </c>
      <c r="BB75" s="17"/>
      <c r="BC75" s="24">
        <v>0</v>
      </c>
      <c r="BD75" s="17"/>
      <c r="BE75" s="24">
        <v>0</v>
      </c>
      <c r="BF75" s="17"/>
      <c r="BG75" s="24">
        <v>0</v>
      </c>
      <c r="BH75" s="17"/>
      <c r="BI75" s="17"/>
      <c r="BJ75" s="17"/>
      <c r="BK75" s="35">
        <f t="shared" si="14"/>
        <v>0</v>
      </c>
      <c r="BL75" s="79"/>
    </row>
    <row r="76" spans="1:64" ht="12.75" hidden="1">
      <c r="A76" s="77" t="s">
        <v>66</v>
      </c>
      <c r="B76" s="77"/>
      <c r="C76" s="35">
        <f t="shared" si="8"/>
        <v>0</v>
      </c>
      <c r="D76" s="35"/>
      <c r="E76" s="24">
        <v>0</v>
      </c>
      <c r="F76" s="35"/>
      <c r="G76" s="24">
        <v>0</v>
      </c>
      <c r="H76" s="35"/>
      <c r="I76" s="35">
        <f t="shared" si="9"/>
        <v>0</v>
      </c>
      <c r="J76" s="35"/>
      <c r="K76" s="24">
        <v>0</v>
      </c>
      <c r="L76" s="35"/>
      <c r="M76" s="24">
        <v>0</v>
      </c>
      <c r="N76" s="35"/>
      <c r="O76" s="24">
        <v>0</v>
      </c>
      <c r="P76" s="35"/>
      <c r="Q76" s="24">
        <v>0</v>
      </c>
      <c r="R76" s="35"/>
      <c r="S76" s="24">
        <v>0</v>
      </c>
      <c r="T76" s="35"/>
      <c r="U76" s="35">
        <f t="shared" si="10"/>
        <v>0</v>
      </c>
      <c r="V76" s="35"/>
      <c r="W76" s="35">
        <f t="shared" si="11"/>
        <v>0</v>
      </c>
      <c r="X76" s="35"/>
      <c r="Y76" s="81" t="s">
        <v>66</v>
      </c>
      <c r="Z76" s="35"/>
      <c r="AA76" s="24">
        <v>0</v>
      </c>
      <c r="AB76" s="17"/>
      <c r="AC76" s="24">
        <v>0</v>
      </c>
      <c r="AD76" s="17"/>
      <c r="AE76" s="24">
        <v>0</v>
      </c>
      <c r="AF76" s="17"/>
      <c r="AG76" s="35">
        <f t="shared" si="12"/>
        <v>0</v>
      </c>
      <c r="AH76" s="40"/>
      <c r="AI76" s="24">
        <v>0</v>
      </c>
      <c r="AJ76" s="40"/>
      <c r="AK76" s="24">
        <v>0</v>
      </c>
      <c r="AL76" s="17"/>
      <c r="AM76" s="24">
        <v>0</v>
      </c>
      <c r="AN76" s="17"/>
      <c r="AO76" s="24">
        <v>0</v>
      </c>
      <c r="AP76" s="17"/>
      <c r="AQ76" s="35">
        <f t="shared" si="15"/>
        <v>0</v>
      </c>
      <c r="AR76" s="40"/>
      <c r="AS76" s="17">
        <v>0</v>
      </c>
      <c r="AT76" s="17"/>
      <c r="AU76" s="17">
        <v>0</v>
      </c>
      <c r="AV76" s="17"/>
      <c r="AW76" s="35">
        <f t="shared" si="13"/>
        <v>0</v>
      </c>
      <c r="AX76" s="17"/>
      <c r="AY76" s="81" t="s">
        <v>66</v>
      </c>
      <c r="AZ76" s="17"/>
      <c r="BA76" s="24">
        <v>0</v>
      </c>
      <c r="BB76" s="17"/>
      <c r="BC76" s="24">
        <v>0</v>
      </c>
      <c r="BD76" s="17"/>
      <c r="BE76" s="24">
        <v>0</v>
      </c>
      <c r="BF76" s="17"/>
      <c r="BG76" s="24">
        <v>0</v>
      </c>
      <c r="BH76" s="17"/>
      <c r="BI76" s="17"/>
      <c r="BJ76" s="17"/>
      <c r="BK76" s="35">
        <f t="shared" si="14"/>
        <v>0</v>
      </c>
      <c r="BL76" s="79"/>
    </row>
    <row r="77" spans="1:64" ht="12.75">
      <c r="A77" s="77" t="s">
        <v>67</v>
      </c>
      <c r="B77" s="77"/>
      <c r="C77" s="35">
        <f>+G77-E77</f>
        <v>20695694</v>
      </c>
      <c r="D77" s="35"/>
      <c r="E77" s="24">
        <f>3031388+57978586+28392422</f>
        <v>89402396</v>
      </c>
      <c r="F77" s="35"/>
      <c r="G77" s="24">
        <f>4579185+68316799+37202106</f>
        <v>110098090</v>
      </c>
      <c r="H77" s="35"/>
      <c r="I77" s="35">
        <f>M77-K77</f>
        <v>4979863</v>
      </c>
      <c r="J77" s="35"/>
      <c r="K77" s="24">
        <f>24420623</f>
        <v>24420623</v>
      </c>
      <c r="L77" s="35"/>
      <c r="M77" s="24">
        <v>29400486</v>
      </c>
      <c r="N77" s="35"/>
      <c r="O77" s="24">
        <f>2155293+37740010+19669083</f>
        <v>59564386</v>
      </c>
      <c r="P77" s="35"/>
      <c r="Q77" s="24">
        <f>40112+1786367</f>
        <v>1826479</v>
      </c>
      <c r="R77" s="35"/>
      <c r="S77" s="24">
        <f>9343373+1532448+8430918</f>
        <v>19306739</v>
      </c>
      <c r="T77" s="35"/>
      <c r="U77" s="35">
        <f>SUM(O77:S77)</f>
        <v>80697604</v>
      </c>
      <c r="V77" s="35"/>
      <c r="W77" s="35">
        <f t="shared" si="11"/>
        <v>0</v>
      </c>
      <c r="X77" s="35"/>
      <c r="Y77" s="81" t="s">
        <v>67</v>
      </c>
      <c r="Z77" s="35"/>
      <c r="AA77" s="24">
        <f>3844812+7168653+4003862</f>
        <v>15017327</v>
      </c>
      <c r="AB77" s="17"/>
      <c r="AC77" s="24">
        <f>3565836+5417308+3052026-262904-1373965-829259</f>
        <v>9569042</v>
      </c>
      <c r="AD77" s="17"/>
      <c r="AE77" s="24">
        <f>262904+1373965+829259</f>
        <v>2466128</v>
      </c>
      <c r="AF77" s="17"/>
      <c r="AG77" s="35">
        <f t="shared" si="12"/>
        <v>2982157</v>
      </c>
      <c r="AH77" s="40"/>
      <c r="AI77" s="24">
        <f>-892356-829105-461449</f>
        <v>-2182910</v>
      </c>
      <c r="AJ77" s="40"/>
      <c r="AK77" s="24">
        <f>84306+51596+36784</f>
        <v>172686</v>
      </c>
      <c r="AL77" s="17"/>
      <c r="AM77" s="24">
        <v>0</v>
      </c>
      <c r="AN77" s="17"/>
      <c r="AO77" s="24">
        <v>0</v>
      </c>
      <c r="AP77" s="17"/>
      <c r="AQ77" s="35">
        <f t="shared" si="15"/>
        <v>971933</v>
      </c>
      <c r="AR77" s="40"/>
      <c r="AS77" s="17">
        <v>0</v>
      </c>
      <c r="AT77" s="17"/>
      <c r="AU77" s="17">
        <v>0</v>
      </c>
      <c r="AV77" s="17"/>
      <c r="AW77" s="35">
        <f t="shared" si="13"/>
        <v>15715831</v>
      </c>
      <c r="AX77" s="17"/>
      <c r="AY77" s="81" t="s">
        <v>67</v>
      </c>
      <c r="AZ77" s="17"/>
      <c r="BA77" s="24">
        <v>0</v>
      </c>
      <c r="BB77" s="17"/>
      <c r="BC77" s="24">
        <f>218669+9756250+390707</f>
        <v>10365626</v>
      </c>
      <c r="BD77" s="17"/>
      <c r="BE77" s="24">
        <f>6814724+550749+669724+77010+5800522</f>
        <v>13912729</v>
      </c>
      <c r="BF77" s="17"/>
      <c r="BG77" s="24">
        <f>32106+62497+47665</f>
        <v>142268</v>
      </c>
      <c r="BH77" s="17"/>
      <c r="BI77" s="17"/>
      <c r="BJ77" s="17"/>
      <c r="BK77" s="35">
        <f t="shared" si="14"/>
        <v>24420623</v>
      </c>
      <c r="BL77" s="79"/>
    </row>
    <row r="78" spans="1:64" ht="12.75">
      <c r="A78" s="77" t="s">
        <v>68</v>
      </c>
      <c r="B78" s="77"/>
      <c r="C78" s="35">
        <f aca="true" t="shared" si="16" ref="C78:C97">+G78-E78</f>
        <v>290053</v>
      </c>
      <c r="D78" s="35"/>
      <c r="E78" s="24">
        <v>1314967</v>
      </c>
      <c r="F78" s="35"/>
      <c r="G78" s="24">
        <v>1605020</v>
      </c>
      <c r="H78" s="35"/>
      <c r="I78" s="35">
        <f aca="true" t="shared" si="17" ref="I78:I97">M78-K78</f>
        <v>55043</v>
      </c>
      <c r="J78" s="35"/>
      <c r="K78" s="24">
        <v>699589</v>
      </c>
      <c r="L78" s="35"/>
      <c r="M78" s="24">
        <v>754632</v>
      </c>
      <c r="N78" s="35"/>
      <c r="O78" s="24">
        <v>561622</v>
      </c>
      <c r="P78" s="35"/>
      <c r="Q78" s="24">
        <v>0</v>
      </c>
      <c r="R78" s="35"/>
      <c r="S78" s="24">
        <v>288766</v>
      </c>
      <c r="T78" s="35"/>
      <c r="U78" s="35">
        <f aca="true" t="shared" si="18" ref="U78:U97">SUM(O78:S78)</f>
        <v>850388</v>
      </c>
      <c r="V78" s="35"/>
      <c r="W78" s="35">
        <f t="shared" si="11"/>
        <v>0</v>
      </c>
      <c r="X78" s="35"/>
      <c r="Y78" s="81" t="s">
        <v>68</v>
      </c>
      <c r="Z78" s="35"/>
      <c r="AA78" s="24">
        <v>129240</v>
      </c>
      <c r="AB78" s="17"/>
      <c r="AC78" s="24">
        <f>69824-15962</f>
        <v>53862</v>
      </c>
      <c r="AD78" s="17"/>
      <c r="AE78" s="24">
        <v>15962</v>
      </c>
      <c r="AF78" s="17"/>
      <c r="AG78" s="35">
        <f t="shared" si="12"/>
        <v>59416</v>
      </c>
      <c r="AH78" s="40"/>
      <c r="AI78" s="24">
        <v>0</v>
      </c>
      <c r="AJ78" s="40"/>
      <c r="AK78" s="24">
        <v>0</v>
      </c>
      <c r="AL78" s="17"/>
      <c r="AM78" s="24">
        <v>0</v>
      </c>
      <c r="AN78" s="17"/>
      <c r="AO78" s="24">
        <v>0</v>
      </c>
      <c r="AP78" s="17"/>
      <c r="AQ78" s="35">
        <f t="shared" si="15"/>
        <v>59416</v>
      </c>
      <c r="AR78" s="40"/>
      <c r="AS78" s="17">
        <v>0</v>
      </c>
      <c r="AT78" s="17"/>
      <c r="AU78" s="17">
        <v>0</v>
      </c>
      <c r="AV78" s="17"/>
      <c r="AW78" s="35">
        <f t="shared" si="13"/>
        <v>235010</v>
      </c>
      <c r="AX78" s="17"/>
      <c r="AY78" s="81" t="s">
        <v>68</v>
      </c>
      <c r="AZ78" s="17"/>
      <c r="BA78" s="24">
        <v>0</v>
      </c>
      <c r="BB78" s="17"/>
      <c r="BC78" s="24">
        <v>0</v>
      </c>
      <c r="BD78" s="17"/>
      <c r="BE78" s="24">
        <f>132622+566967</f>
        <v>699589</v>
      </c>
      <c r="BF78" s="17"/>
      <c r="BG78" s="24">
        <v>0</v>
      </c>
      <c r="BH78" s="17"/>
      <c r="BI78" s="17"/>
      <c r="BJ78" s="17"/>
      <c r="BK78" s="35">
        <f t="shared" si="14"/>
        <v>699589</v>
      </c>
      <c r="BL78" s="79"/>
    </row>
    <row r="79" spans="1:64" ht="12.75" hidden="1">
      <c r="A79" s="77" t="s">
        <v>176</v>
      </c>
      <c r="B79" s="77"/>
      <c r="C79" s="35">
        <f t="shared" si="16"/>
        <v>0</v>
      </c>
      <c r="D79" s="35"/>
      <c r="E79" s="24">
        <v>0</v>
      </c>
      <c r="F79" s="35"/>
      <c r="G79" s="24">
        <v>0</v>
      </c>
      <c r="H79" s="35"/>
      <c r="I79" s="35">
        <f t="shared" si="17"/>
        <v>0</v>
      </c>
      <c r="J79" s="35"/>
      <c r="K79" s="24">
        <v>0</v>
      </c>
      <c r="L79" s="35"/>
      <c r="M79" s="24">
        <v>0</v>
      </c>
      <c r="N79" s="35"/>
      <c r="O79" s="24">
        <v>0</v>
      </c>
      <c r="P79" s="35"/>
      <c r="Q79" s="24">
        <v>0</v>
      </c>
      <c r="R79" s="35"/>
      <c r="S79" s="24">
        <v>0</v>
      </c>
      <c r="T79" s="35"/>
      <c r="U79" s="35">
        <f t="shared" si="18"/>
        <v>0</v>
      </c>
      <c r="V79" s="35"/>
      <c r="W79" s="35">
        <f t="shared" si="11"/>
        <v>0</v>
      </c>
      <c r="X79" s="35"/>
      <c r="Y79" s="81" t="s">
        <v>176</v>
      </c>
      <c r="Z79" s="35"/>
      <c r="AA79" s="24">
        <v>0</v>
      </c>
      <c r="AB79" s="17"/>
      <c r="AC79" s="24">
        <v>0</v>
      </c>
      <c r="AD79" s="17"/>
      <c r="AE79" s="24">
        <v>0</v>
      </c>
      <c r="AF79" s="17"/>
      <c r="AG79" s="35">
        <f t="shared" si="12"/>
        <v>0</v>
      </c>
      <c r="AH79" s="40"/>
      <c r="AI79" s="24">
        <v>0</v>
      </c>
      <c r="AJ79" s="40"/>
      <c r="AK79" s="24">
        <v>0</v>
      </c>
      <c r="AL79" s="17"/>
      <c r="AM79" s="24">
        <v>0</v>
      </c>
      <c r="AN79" s="17"/>
      <c r="AO79" s="24">
        <v>0</v>
      </c>
      <c r="AP79" s="17"/>
      <c r="AQ79" s="35">
        <f t="shared" si="15"/>
        <v>0</v>
      </c>
      <c r="AR79" s="40"/>
      <c r="AS79" s="17">
        <v>0</v>
      </c>
      <c r="AT79" s="17"/>
      <c r="AU79" s="17">
        <v>0</v>
      </c>
      <c r="AV79" s="17"/>
      <c r="AW79" s="35">
        <f t="shared" si="13"/>
        <v>0</v>
      </c>
      <c r="AX79" s="35"/>
      <c r="AY79" s="81" t="s">
        <v>176</v>
      </c>
      <c r="AZ79" s="35"/>
      <c r="BA79" s="24">
        <v>0</v>
      </c>
      <c r="BB79" s="17"/>
      <c r="BC79" s="24">
        <v>0</v>
      </c>
      <c r="BD79" s="17"/>
      <c r="BE79" s="24">
        <v>0</v>
      </c>
      <c r="BF79" s="17"/>
      <c r="BG79" s="24">
        <v>0</v>
      </c>
      <c r="BH79" s="17"/>
      <c r="BI79" s="17"/>
      <c r="BJ79" s="17"/>
      <c r="BK79" s="35">
        <f t="shared" si="14"/>
        <v>0</v>
      </c>
      <c r="BL79" s="79"/>
    </row>
    <row r="80" spans="1:64" ht="12.75">
      <c r="A80" s="77" t="s">
        <v>178</v>
      </c>
      <c r="B80" s="77"/>
      <c r="C80" s="35">
        <f t="shared" si="16"/>
        <v>3127109</v>
      </c>
      <c r="D80" s="35"/>
      <c r="E80" s="24">
        <v>24920549</v>
      </c>
      <c r="F80" s="35"/>
      <c r="G80" s="24">
        <v>28047658</v>
      </c>
      <c r="H80" s="35"/>
      <c r="I80" s="35">
        <f t="shared" si="17"/>
        <v>780438</v>
      </c>
      <c r="J80" s="35"/>
      <c r="K80" s="24">
        <v>3497657</v>
      </c>
      <c r="L80" s="35"/>
      <c r="M80" s="24">
        <v>4278095</v>
      </c>
      <c r="N80" s="35"/>
      <c r="O80" s="24">
        <v>21407255</v>
      </c>
      <c r="P80" s="35"/>
      <c r="Q80" s="24">
        <v>0</v>
      </c>
      <c r="R80" s="35"/>
      <c r="S80" s="24">
        <v>2362308</v>
      </c>
      <c r="T80" s="35"/>
      <c r="U80" s="35">
        <f t="shared" si="18"/>
        <v>23769563</v>
      </c>
      <c r="V80" s="35"/>
      <c r="W80" s="35">
        <f t="shared" si="11"/>
        <v>0</v>
      </c>
      <c r="X80" s="35"/>
      <c r="Y80" s="81" t="s">
        <v>178</v>
      </c>
      <c r="Z80" s="35"/>
      <c r="AA80" s="24">
        <v>2710824</v>
      </c>
      <c r="AB80" s="17"/>
      <c r="AC80" s="24">
        <v>1842181</v>
      </c>
      <c r="AD80" s="17"/>
      <c r="AE80" s="24">
        <v>1482938</v>
      </c>
      <c r="AF80" s="17"/>
      <c r="AG80" s="35">
        <f t="shared" si="12"/>
        <v>-614295</v>
      </c>
      <c r="AH80" s="40"/>
      <c r="AI80" s="24">
        <v>-146268</v>
      </c>
      <c r="AJ80" s="40"/>
      <c r="AK80" s="24">
        <v>0</v>
      </c>
      <c r="AL80" s="17"/>
      <c r="AM80" s="24">
        <v>61591</v>
      </c>
      <c r="AN80" s="17"/>
      <c r="AO80" s="24">
        <v>182152</v>
      </c>
      <c r="AP80" s="17"/>
      <c r="AQ80" s="35">
        <f t="shared" si="15"/>
        <v>-640002</v>
      </c>
      <c r="AR80" s="40"/>
      <c r="AS80" s="17">
        <v>0</v>
      </c>
      <c r="AT80" s="17"/>
      <c r="AU80" s="17">
        <v>0</v>
      </c>
      <c r="AV80" s="17"/>
      <c r="AW80" s="35">
        <f t="shared" si="13"/>
        <v>2346671</v>
      </c>
      <c r="AX80" s="17"/>
      <c r="AY80" s="81" t="s">
        <v>178</v>
      </c>
      <c r="AZ80" s="17"/>
      <c r="BA80" s="24">
        <v>0</v>
      </c>
      <c r="BB80" s="17"/>
      <c r="BC80" s="24">
        <f>3055320</f>
        <v>3055320</v>
      </c>
      <c r="BD80" s="17"/>
      <c r="BE80" s="24">
        <v>390649</v>
      </c>
      <c r="BF80" s="17"/>
      <c r="BG80" s="24">
        <v>51688</v>
      </c>
      <c r="BH80" s="17"/>
      <c r="BI80" s="17"/>
      <c r="BJ80" s="17"/>
      <c r="BK80" s="35">
        <f t="shared" si="14"/>
        <v>3497657</v>
      </c>
      <c r="BL80" s="79"/>
    </row>
    <row r="81" spans="1:64" ht="12.75">
      <c r="A81" s="77" t="s">
        <v>69</v>
      </c>
      <c r="B81" s="77"/>
      <c r="C81" s="35">
        <f>+G81-E81</f>
        <v>880103</v>
      </c>
      <c r="D81" s="35"/>
      <c r="E81" s="24">
        <v>5282441</v>
      </c>
      <c r="F81" s="35"/>
      <c r="G81" s="24">
        <v>6162544</v>
      </c>
      <c r="H81" s="35"/>
      <c r="I81" s="35">
        <f t="shared" si="17"/>
        <v>208389</v>
      </c>
      <c r="J81" s="35"/>
      <c r="K81" s="24">
        <v>1413362</v>
      </c>
      <c r="L81" s="35"/>
      <c r="M81" s="24">
        <v>1621751</v>
      </c>
      <c r="N81" s="35"/>
      <c r="O81" s="24">
        <v>3757349</v>
      </c>
      <c r="P81" s="35"/>
      <c r="Q81" s="24">
        <v>0</v>
      </c>
      <c r="R81" s="35"/>
      <c r="S81" s="24">
        <v>783444</v>
      </c>
      <c r="T81" s="35"/>
      <c r="U81" s="35">
        <f t="shared" si="18"/>
        <v>4540793</v>
      </c>
      <c r="V81" s="35"/>
      <c r="W81" s="35">
        <f t="shared" si="11"/>
        <v>0</v>
      </c>
      <c r="X81" s="35"/>
      <c r="Y81" s="81" t="s">
        <v>69</v>
      </c>
      <c r="Z81" s="35"/>
      <c r="AA81" s="24">
        <v>0</v>
      </c>
      <c r="AB81" s="17"/>
      <c r="AC81" s="24">
        <v>0</v>
      </c>
      <c r="AD81" s="17"/>
      <c r="AE81" s="24">
        <v>0</v>
      </c>
      <c r="AF81" s="17"/>
      <c r="AG81" s="35">
        <f t="shared" si="12"/>
        <v>0</v>
      </c>
      <c r="AH81" s="40"/>
      <c r="AI81" s="24">
        <v>0</v>
      </c>
      <c r="AJ81" s="40"/>
      <c r="AK81" s="24">
        <v>0</v>
      </c>
      <c r="AL81" s="17"/>
      <c r="AM81" s="24">
        <v>0</v>
      </c>
      <c r="AN81" s="17"/>
      <c r="AO81" s="24">
        <v>0</v>
      </c>
      <c r="AP81" s="17"/>
      <c r="AQ81" s="35">
        <f t="shared" si="15"/>
        <v>0</v>
      </c>
      <c r="AR81" s="40"/>
      <c r="AS81" s="17">
        <v>0</v>
      </c>
      <c r="AT81" s="17"/>
      <c r="AU81" s="17">
        <v>0</v>
      </c>
      <c r="AV81" s="17"/>
      <c r="AW81" s="35">
        <f t="shared" si="13"/>
        <v>671714</v>
      </c>
      <c r="AX81" s="17"/>
      <c r="AY81" s="81" t="s">
        <v>69</v>
      </c>
      <c r="AZ81" s="17"/>
      <c r="BA81" s="24">
        <v>0</v>
      </c>
      <c r="BB81" s="17"/>
      <c r="BC81" s="24">
        <v>0</v>
      </c>
      <c r="BD81" s="17"/>
      <c r="BE81" s="24">
        <v>0</v>
      </c>
      <c r="BF81" s="17"/>
      <c r="BG81" s="24">
        <v>0</v>
      </c>
      <c r="BH81" s="17"/>
      <c r="BI81" s="17"/>
      <c r="BJ81" s="17"/>
      <c r="BK81" s="35">
        <f t="shared" si="14"/>
        <v>0</v>
      </c>
      <c r="BL81" s="79"/>
    </row>
    <row r="82" spans="1:64" ht="12.75">
      <c r="A82" s="77" t="s">
        <v>98</v>
      </c>
      <c r="B82" s="77"/>
      <c r="C82" s="35">
        <f t="shared" si="16"/>
        <v>880103</v>
      </c>
      <c r="D82" s="35"/>
      <c r="E82" s="24">
        <v>5282441</v>
      </c>
      <c r="F82" s="35"/>
      <c r="G82" s="24">
        <v>6162544</v>
      </c>
      <c r="H82" s="35"/>
      <c r="I82" s="35">
        <f t="shared" si="17"/>
        <v>208389</v>
      </c>
      <c r="J82" s="35"/>
      <c r="K82" s="24">
        <v>1413362</v>
      </c>
      <c r="L82" s="35"/>
      <c r="M82" s="24">
        <v>1621751</v>
      </c>
      <c r="N82" s="35"/>
      <c r="O82" s="24">
        <v>3757349</v>
      </c>
      <c r="P82" s="35"/>
      <c r="Q82" s="24">
        <v>0</v>
      </c>
      <c r="R82" s="35"/>
      <c r="S82" s="24">
        <v>783444</v>
      </c>
      <c r="T82" s="35"/>
      <c r="U82" s="35">
        <f>SUM(O82:S82)</f>
        <v>4540793</v>
      </c>
      <c r="V82" s="35"/>
      <c r="W82" s="35">
        <f t="shared" si="11"/>
        <v>0</v>
      </c>
      <c r="X82" s="35"/>
      <c r="Y82" s="81" t="s">
        <v>98</v>
      </c>
      <c r="Z82" s="35"/>
      <c r="AA82" s="24">
        <v>1206907</v>
      </c>
      <c r="AB82" s="17"/>
      <c r="AC82" s="24">
        <f>1132044-238642</f>
        <v>893402</v>
      </c>
      <c r="AD82" s="17"/>
      <c r="AE82" s="24">
        <v>238642</v>
      </c>
      <c r="AF82" s="17"/>
      <c r="AG82" s="35">
        <f t="shared" si="12"/>
        <v>74863</v>
      </c>
      <c r="AH82" s="40"/>
      <c r="AI82" s="24">
        <v>-36145</v>
      </c>
      <c r="AJ82" s="40"/>
      <c r="AK82" s="24">
        <v>0</v>
      </c>
      <c r="AL82" s="17"/>
      <c r="AM82" s="24">
        <v>0</v>
      </c>
      <c r="AN82" s="17"/>
      <c r="AO82" s="24">
        <v>439101</v>
      </c>
      <c r="AP82" s="17"/>
      <c r="AQ82" s="35">
        <f t="shared" si="15"/>
        <v>477819</v>
      </c>
      <c r="AR82" s="40"/>
      <c r="AS82" s="17">
        <v>0</v>
      </c>
      <c r="AT82" s="17"/>
      <c r="AU82" s="17">
        <v>0</v>
      </c>
      <c r="AV82" s="17"/>
      <c r="AW82" s="35">
        <f t="shared" si="13"/>
        <v>671714</v>
      </c>
      <c r="AX82" s="17"/>
      <c r="AY82" s="81" t="s">
        <v>98</v>
      </c>
      <c r="AZ82" s="17"/>
      <c r="BA82" s="24">
        <v>0</v>
      </c>
      <c r="BB82" s="17"/>
      <c r="BC82" s="24">
        <v>0</v>
      </c>
      <c r="BD82" s="17"/>
      <c r="BE82" s="24">
        <f>189939+1212820</f>
        <v>1402759</v>
      </c>
      <c r="BF82" s="17"/>
      <c r="BG82" s="24">
        <v>10603</v>
      </c>
      <c r="BH82" s="17"/>
      <c r="BI82" s="17"/>
      <c r="BJ82" s="17"/>
      <c r="BK82" s="35">
        <f t="shared" si="14"/>
        <v>1413362</v>
      </c>
      <c r="BL82" s="79"/>
    </row>
    <row r="83" spans="1:64" ht="12.75">
      <c r="A83" s="77" t="s">
        <v>70</v>
      </c>
      <c r="B83" s="77"/>
      <c r="C83" s="35">
        <f t="shared" si="16"/>
        <v>3006838</v>
      </c>
      <c r="D83" s="35"/>
      <c r="E83" s="24">
        <v>17625332</v>
      </c>
      <c r="F83" s="35"/>
      <c r="G83" s="24">
        <v>20632170</v>
      </c>
      <c r="H83" s="35"/>
      <c r="I83" s="35">
        <f t="shared" si="17"/>
        <v>634658</v>
      </c>
      <c r="J83" s="35"/>
      <c r="K83" s="24">
        <v>7583819</v>
      </c>
      <c r="L83" s="35"/>
      <c r="M83" s="24">
        <v>8218477</v>
      </c>
      <c r="N83" s="35"/>
      <c r="O83" s="24">
        <v>9670390</v>
      </c>
      <c r="P83" s="35"/>
      <c r="Q83" s="24">
        <v>0</v>
      </c>
      <c r="R83" s="35"/>
      <c r="S83" s="24">
        <v>2743303</v>
      </c>
      <c r="T83" s="35"/>
      <c r="U83" s="35">
        <f t="shared" si="18"/>
        <v>12413693</v>
      </c>
      <c r="V83" s="35"/>
      <c r="W83" s="35">
        <f t="shared" si="11"/>
        <v>0</v>
      </c>
      <c r="X83" s="35"/>
      <c r="Y83" s="81" t="s">
        <v>70</v>
      </c>
      <c r="Z83" s="35"/>
      <c r="AA83" s="24">
        <v>3256515</v>
      </c>
      <c r="AB83" s="17"/>
      <c r="AC83" s="24">
        <f>2203458-397824</f>
        <v>1805634</v>
      </c>
      <c r="AD83" s="17"/>
      <c r="AE83" s="24">
        <v>397824</v>
      </c>
      <c r="AF83" s="17"/>
      <c r="AG83" s="35">
        <f t="shared" si="12"/>
        <v>1053057</v>
      </c>
      <c r="AH83" s="40"/>
      <c r="AI83" s="24">
        <v>-333368</v>
      </c>
      <c r="AJ83" s="40"/>
      <c r="AK83" s="24">
        <v>0</v>
      </c>
      <c r="AL83" s="17"/>
      <c r="AM83" s="24">
        <v>0</v>
      </c>
      <c r="AN83" s="17"/>
      <c r="AO83" s="24">
        <v>305442</v>
      </c>
      <c r="AP83" s="17"/>
      <c r="AQ83" s="35">
        <f t="shared" si="15"/>
        <v>1025131</v>
      </c>
      <c r="AR83" s="40"/>
      <c r="AS83" s="17">
        <v>0</v>
      </c>
      <c r="AT83" s="17"/>
      <c r="AU83" s="17">
        <v>0</v>
      </c>
      <c r="AV83" s="17"/>
      <c r="AW83" s="35">
        <f t="shared" si="13"/>
        <v>2372180</v>
      </c>
      <c r="AX83" s="17"/>
      <c r="AY83" s="81" t="s">
        <v>70</v>
      </c>
      <c r="AZ83" s="17"/>
      <c r="BA83" s="24">
        <f>3187511+2827057</f>
        <v>6014568</v>
      </c>
      <c r="BB83" s="17"/>
      <c r="BC83" s="24">
        <v>0</v>
      </c>
      <c r="BD83" s="17"/>
      <c r="BE83" s="24">
        <f>690382+849714</f>
        <v>1540096</v>
      </c>
      <c r="BF83" s="17"/>
      <c r="BG83" s="24">
        <v>29155</v>
      </c>
      <c r="BH83" s="17"/>
      <c r="BI83" s="17"/>
      <c r="BJ83" s="17"/>
      <c r="BK83" s="35">
        <f t="shared" si="14"/>
        <v>7583819</v>
      </c>
      <c r="BL83" s="79"/>
    </row>
    <row r="84" spans="1:64" ht="12.75">
      <c r="A84" s="77" t="s">
        <v>71</v>
      </c>
      <c r="B84" s="77"/>
      <c r="C84" s="35">
        <f t="shared" si="16"/>
        <v>303063</v>
      </c>
      <c r="D84" s="35"/>
      <c r="E84" s="24">
        <f>1166019</f>
        <v>1166019</v>
      </c>
      <c r="F84" s="35"/>
      <c r="G84" s="24">
        <f>74463+1394619</f>
        <v>1469082</v>
      </c>
      <c r="H84" s="35"/>
      <c r="I84" s="35">
        <f t="shared" si="17"/>
        <v>164888</v>
      </c>
      <c r="J84" s="35"/>
      <c r="K84" s="24">
        <f>132426+9240</f>
        <v>141666</v>
      </c>
      <c r="L84" s="35"/>
      <c r="M84" s="24">
        <f>196120+110434</f>
        <v>306554</v>
      </c>
      <c r="N84" s="35"/>
      <c r="O84" s="24">
        <v>1056095</v>
      </c>
      <c r="P84" s="35"/>
      <c r="Q84" s="24">
        <v>0</v>
      </c>
      <c r="R84" s="35"/>
      <c r="S84" s="24">
        <f>228090-121657</f>
        <v>106433</v>
      </c>
      <c r="T84" s="35"/>
      <c r="U84" s="35">
        <f t="shared" si="18"/>
        <v>1162528</v>
      </c>
      <c r="V84" s="35"/>
      <c r="W84" s="35">
        <f t="shared" si="11"/>
        <v>0</v>
      </c>
      <c r="X84" s="35"/>
      <c r="Y84" s="81" t="s">
        <v>71</v>
      </c>
      <c r="Z84" s="35"/>
      <c r="AA84" s="24">
        <f>177887+135032</f>
        <v>312919</v>
      </c>
      <c r="AB84" s="17"/>
      <c r="AC84" s="24">
        <f>185877+161296-44123</f>
        <v>303050</v>
      </c>
      <c r="AD84" s="17"/>
      <c r="AE84" s="24">
        <v>44123</v>
      </c>
      <c r="AF84" s="17"/>
      <c r="AG84" s="35">
        <f t="shared" si="12"/>
        <v>-34254</v>
      </c>
      <c r="AH84" s="40"/>
      <c r="AI84" s="24">
        <f>-3245+199</f>
        <v>-3046</v>
      </c>
      <c r="AJ84" s="40"/>
      <c r="AK84" s="24">
        <v>11244</v>
      </c>
      <c r="AL84" s="17"/>
      <c r="AM84" s="24">
        <v>11244</v>
      </c>
      <c r="AN84" s="17"/>
      <c r="AO84" s="24">
        <v>0</v>
      </c>
      <c r="AP84" s="17"/>
      <c r="AQ84" s="35">
        <f t="shared" si="15"/>
        <v>-37300</v>
      </c>
      <c r="AR84" s="40"/>
      <c r="AS84" s="17">
        <v>0</v>
      </c>
      <c r="AT84" s="17"/>
      <c r="AU84" s="17">
        <v>0</v>
      </c>
      <c r="AV84" s="17"/>
      <c r="AW84" s="35">
        <f t="shared" si="13"/>
        <v>138175</v>
      </c>
      <c r="AX84" s="17"/>
      <c r="AY84" s="81" t="s">
        <v>71</v>
      </c>
      <c r="AZ84" s="17"/>
      <c r="BA84" s="24">
        <f>0</f>
        <v>0</v>
      </c>
      <c r="BB84" s="17"/>
      <c r="BC84" s="24">
        <v>0</v>
      </c>
      <c r="BD84" s="17"/>
      <c r="BE84" s="24">
        <f>32426+100000+9240</f>
        <v>141666</v>
      </c>
      <c r="BF84" s="17"/>
      <c r="BG84" s="24">
        <v>0</v>
      </c>
      <c r="BH84" s="17"/>
      <c r="BI84" s="17"/>
      <c r="BJ84" s="17"/>
      <c r="BK84" s="35">
        <f t="shared" si="14"/>
        <v>141666</v>
      </c>
      <c r="BL84" s="79"/>
    </row>
    <row r="85" spans="1:64" ht="12.75">
      <c r="A85" s="77" t="s">
        <v>72</v>
      </c>
      <c r="B85" s="77"/>
      <c r="C85" s="35">
        <f t="shared" si="16"/>
        <v>218249</v>
      </c>
      <c r="D85" s="35"/>
      <c r="E85" s="24">
        <v>10350670</v>
      </c>
      <c r="F85" s="35"/>
      <c r="G85" s="24">
        <v>10568919</v>
      </c>
      <c r="H85" s="35"/>
      <c r="I85" s="35">
        <f t="shared" si="17"/>
        <v>186597</v>
      </c>
      <c r="J85" s="35"/>
      <c r="K85" s="24">
        <v>2557033</v>
      </c>
      <c r="L85" s="35"/>
      <c r="M85" s="24">
        <v>2743630</v>
      </c>
      <c r="N85" s="35"/>
      <c r="O85" s="24">
        <v>7799187</v>
      </c>
      <c r="P85" s="35"/>
      <c r="Q85" s="24">
        <v>0</v>
      </c>
      <c r="R85" s="35"/>
      <c r="S85" s="24">
        <v>26102</v>
      </c>
      <c r="T85" s="35"/>
      <c r="U85" s="35">
        <f t="shared" si="18"/>
        <v>7825289</v>
      </c>
      <c r="V85" s="35"/>
      <c r="W85" s="35">
        <f t="shared" si="11"/>
        <v>0</v>
      </c>
      <c r="X85" s="35"/>
      <c r="Y85" s="81" t="s">
        <v>72</v>
      </c>
      <c r="Z85" s="35"/>
      <c r="AA85" s="24">
        <v>716965</v>
      </c>
      <c r="AB85" s="17"/>
      <c r="AC85" s="24">
        <f>998142-263946</f>
        <v>734196</v>
      </c>
      <c r="AD85" s="17"/>
      <c r="AE85" s="24">
        <v>263946</v>
      </c>
      <c r="AF85" s="17"/>
      <c r="AG85" s="35">
        <f t="shared" si="12"/>
        <v>-281177</v>
      </c>
      <c r="AH85" s="40"/>
      <c r="AI85" s="24">
        <v>152565</v>
      </c>
      <c r="AJ85" s="40"/>
      <c r="AK85" s="24">
        <v>275000</v>
      </c>
      <c r="AL85" s="17"/>
      <c r="AM85" s="24">
        <v>0</v>
      </c>
      <c r="AN85" s="17"/>
      <c r="AO85" s="24">
        <v>0</v>
      </c>
      <c r="AP85" s="17"/>
      <c r="AQ85" s="35">
        <f t="shared" si="15"/>
        <v>146388</v>
      </c>
      <c r="AR85" s="40"/>
      <c r="AS85" s="17">
        <v>0</v>
      </c>
      <c r="AT85" s="17"/>
      <c r="AU85" s="17">
        <v>0</v>
      </c>
      <c r="AV85" s="17"/>
      <c r="AW85" s="35">
        <f t="shared" si="13"/>
        <v>31652</v>
      </c>
      <c r="AX85" s="17"/>
      <c r="AY85" s="81" t="s">
        <v>72</v>
      </c>
      <c r="AZ85" s="17"/>
      <c r="BA85" s="24">
        <v>0</v>
      </c>
      <c r="BB85" s="17"/>
      <c r="BC85" s="24">
        <v>0</v>
      </c>
      <c r="BD85" s="17"/>
      <c r="BE85" s="24">
        <f>139408+2376391</f>
        <v>2515799</v>
      </c>
      <c r="BF85" s="17"/>
      <c r="BG85" s="24">
        <f>41234</f>
        <v>41234</v>
      </c>
      <c r="BH85" s="17"/>
      <c r="BI85" s="17"/>
      <c r="BJ85" s="17"/>
      <c r="BK85" s="35">
        <f t="shared" si="14"/>
        <v>2557033</v>
      </c>
      <c r="BL85" s="79"/>
    </row>
    <row r="86" spans="1:64" ht="12.75">
      <c r="A86" s="77" t="s">
        <v>73</v>
      </c>
      <c r="B86" s="77"/>
      <c r="C86" s="35">
        <f t="shared" si="16"/>
        <v>18282019</v>
      </c>
      <c r="D86" s="35"/>
      <c r="E86" s="24">
        <v>119732111</v>
      </c>
      <c r="F86" s="35"/>
      <c r="G86" s="24">
        <v>138014130</v>
      </c>
      <c r="H86" s="35"/>
      <c r="I86" s="35">
        <f t="shared" si="17"/>
        <v>3729343</v>
      </c>
      <c r="J86" s="35"/>
      <c r="K86" s="24">
        <v>24566555</v>
      </c>
      <c r="L86" s="35"/>
      <c r="M86" s="24">
        <v>28295898</v>
      </c>
      <c r="N86" s="35"/>
      <c r="O86" s="24">
        <v>93242599</v>
      </c>
      <c r="P86" s="35"/>
      <c r="Q86" s="24">
        <v>0</v>
      </c>
      <c r="R86" s="35"/>
      <c r="S86" s="24">
        <v>16475633</v>
      </c>
      <c r="T86" s="35"/>
      <c r="U86" s="35">
        <f t="shared" si="18"/>
        <v>109718232</v>
      </c>
      <c r="V86" s="35"/>
      <c r="W86" s="35">
        <f t="shared" si="11"/>
        <v>0</v>
      </c>
      <c r="X86" s="35"/>
      <c r="Y86" s="81" t="s">
        <v>73</v>
      </c>
      <c r="Z86" s="35"/>
      <c r="AA86" s="24">
        <v>21374420</v>
      </c>
      <c r="AB86" s="17"/>
      <c r="AC86" s="24">
        <f>18573197-4057501</f>
        <v>14515696</v>
      </c>
      <c r="AD86" s="17"/>
      <c r="AE86" s="24">
        <v>4057501</v>
      </c>
      <c r="AF86" s="17"/>
      <c r="AG86" s="35">
        <f t="shared" si="12"/>
        <v>2801223</v>
      </c>
      <c r="AH86" s="40"/>
      <c r="AI86" s="24">
        <v>-658945</v>
      </c>
      <c r="AJ86" s="40"/>
      <c r="AK86" s="24">
        <v>0</v>
      </c>
      <c r="AL86" s="17"/>
      <c r="AM86" s="24">
        <v>0</v>
      </c>
      <c r="AN86" s="17"/>
      <c r="AO86" s="24">
        <v>124852</v>
      </c>
      <c r="AP86" s="17"/>
      <c r="AQ86" s="35">
        <f t="shared" si="15"/>
        <v>2267130</v>
      </c>
      <c r="AR86" s="40"/>
      <c r="AS86" s="17">
        <v>0</v>
      </c>
      <c r="AT86" s="17"/>
      <c r="AU86" s="17">
        <v>0</v>
      </c>
      <c r="AV86" s="17"/>
      <c r="AW86" s="35">
        <f t="shared" si="13"/>
        <v>14552676</v>
      </c>
      <c r="AX86" s="17"/>
      <c r="AY86" s="81" t="s">
        <v>73</v>
      </c>
      <c r="AZ86" s="17"/>
      <c r="BA86" s="24">
        <v>13612756</v>
      </c>
      <c r="BB86" s="17"/>
      <c r="BC86" s="24">
        <v>0</v>
      </c>
      <c r="BD86" s="17"/>
      <c r="BE86" s="24">
        <f>476092+9809473</f>
        <v>10285565</v>
      </c>
      <c r="BF86" s="17"/>
      <c r="BG86" s="24">
        <f>668234</f>
        <v>668234</v>
      </c>
      <c r="BH86" s="17"/>
      <c r="BI86" s="17"/>
      <c r="BJ86" s="17"/>
      <c r="BK86" s="35">
        <f t="shared" si="14"/>
        <v>24566555</v>
      </c>
      <c r="BL86" s="79"/>
    </row>
    <row r="87" spans="1:64" ht="12.75" hidden="1">
      <c r="A87" s="77" t="s">
        <v>74</v>
      </c>
      <c r="B87" s="77"/>
      <c r="C87" s="35">
        <f t="shared" si="16"/>
        <v>0</v>
      </c>
      <c r="D87" s="35"/>
      <c r="E87" s="24">
        <v>0</v>
      </c>
      <c r="F87" s="35"/>
      <c r="G87" s="24">
        <v>0</v>
      </c>
      <c r="H87" s="35"/>
      <c r="I87" s="35">
        <f t="shared" si="17"/>
        <v>0</v>
      </c>
      <c r="J87" s="35"/>
      <c r="K87" s="24">
        <v>0</v>
      </c>
      <c r="L87" s="35"/>
      <c r="M87" s="24">
        <v>0</v>
      </c>
      <c r="N87" s="35"/>
      <c r="O87" s="24">
        <v>0</v>
      </c>
      <c r="P87" s="35"/>
      <c r="Q87" s="24">
        <v>0</v>
      </c>
      <c r="R87" s="35"/>
      <c r="S87" s="24">
        <v>0</v>
      </c>
      <c r="T87" s="35"/>
      <c r="U87" s="35">
        <f t="shared" si="18"/>
        <v>0</v>
      </c>
      <c r="V87" s="35"/>
      <c r="W87" s="35">
        <f t="shared" si="11"/>
        <v>0</v>
      </c>
      <c r="X87" s="35"/>
      <c r="Y87" s="81" t="s">
        <v>74</v>
      </c>
      <c r="Z87" s="35"/>
      <c r="AA87" s="24">
        <v>0</v>
      </c>
      <c r="AB87" s="17"/>
      <c r="AC87" s="24">
        <v>0</v>
      </c>
      <c r="AD87" s="17"/>
      <c r="AE87" s="24">
        <v>0</v>
      </c>
      <c r="AF87" s="17"/>
      <c r="AG87" s="35">
        <f t="shared" si="12"/>
        <v>0</v>
      </c>
      <c r="AH87" s="40"/>
      <c r="AI87" s="24">
        <v>0</v>
      </c>
      <c r="AJ87" s="40"/>
      <c r="AK87" s="24">
        <v>0</v>
      </c>
      <c r="AL87" s="17"/>
      <c r="AM87" s="24">
        <v>0</v>
      </c>
      <c r="AN87" s="17"/>
      <c r="AO87" s="24">
        <v>0</v>
      </c>
      <c r="AP87" s="17"/>
      <c r="AQ87" s="35">
        <f t="shared" si="15"/>
        <v>0</v>
      </c>
      <c r="AR87" s="40"/>
      <c r="AS87" s="17">
        <v>0</v>
      </c>
      <c r="AT87" s="17"/>
      <c r="AU87" s="17">
        <v>0</v>
      </c>
      <c r="AV87" s="17"/>
      <c r="AW87" s="35">
        <f t="shared" si="13"/>
        <v>0</v>
      </c>
      <c r="AX87" s="17"/>
      <c r="AY87" s="81" t="s">
        <v>74</v>
      </c>
      <c r="AZ87" s="17"/>
      <c r="BA87" s="24">
        <v>0</v>
      </c>
      <c r="BB87" s="17"/>
      <c r="BC87" s="24">
        <v>0</v>
      </c>
      <c r="BD87" s="17"/>
      <c r="BE87" s="24">
        <v>0</v>
      </c>
      <c r="BF87" s="17"/>
      <c r="BG87" s="24">
        <v>0</v>
      </c>
      <c r="BH87" s="17"/>
      <c r="BI87" s="17"/>
      <c r="BJ87" s="17"/>
      <c r="BK87" s="35">
        <f t="shared" si="14"/>
        <v>0</v>
      </c>
      <c r="BL87" s="79"/>
    </row>
    <row r="88" spans="1:64" ht="12.75">
      <c r="A88" s="77" t="s">
        <v>75</v>
      </c>
      <c r="B88" s="77"/>
      <c r="C88" s="35">
        <f t="shared" si="16"/>
        <v>10741026</v>
      </c>
      <c r="D88" s="35"/>
      <c r="E88" s="24">
        <v>51493569</v>
      </c>
      <c r="F88" s="35"/>
      <c r="G88" s="24">
        <v>62234595</v>
      </c>
      <c r="H88" s="35"/>
      <c r="I88" s="35">
        <f t="shared" si="17"/>
        <v>4511767</v>
      </c>
      <c r="J88" s="35"/>
      <c r="K88" s="24">
        <v>11309072</v>
      </c>
      <c r="L88" s="35"/>
      <c r="M88" s="24">
        <v>15820839</v>
      </c>
      <c r="N88" s="35"/>
      <c r="O88" s="24">
        <v>36969948</v>
      </c>
      <c r="P88" s="35"/>
      <c r="Q88" s="24">
        <v>0</v>
      </c>
      <c r="R88" s="35"/>
      <c r="S88" s="24">
        <v>9443808</v>
      </c>
      <c r="T88" s="35"/>
      <c r="U88" s="35">
        <f t="shared" si="18"/>
        <v>46413756</v>
      </c>
      <c r="V88" s="35"/>
      <c r="W88" s="35">
        <f t="shared" si="11"/>
        <v>0</v>
      </c>
      <c r="X88" s="35"/>
      <c r="Y88" s="81" t="s">
        <v>75</v>
      </c>
      <c r="Z88" s="35"/>
      <c r="AA88" s="24">
        <v>12395483</v>
      </c>
      <c r="AB88" s="17"/>
      <c r="AC88" s="24">
        <f>11025581</f>
        <v>11025581</v>
      </c>
      <c r="AD88" s="17"/>
      <c r="AE88" s="24">
        <v>0</v>
      </c>
      <c r="AF88" s="17"/>
      <c r="AG88" s="35">
        <f t="shared" si="12"/>
        <v>1369902</v>
      </c>
      <c r="AH88" s="40"/>
      <c r="AI88" s="24">
        <v>-395231</v>
      </c>
      <c r="AJ88" s="40"/>
      <c r="AK88" s="24">
        <v>1512224</v>
      </c>
      <c r="AL88" s="17"/>
      <c r="AM88" s="24">
        <v>557983</v>
      </c>
      <c r="AN88" s="17"/>
      <c r="AO88" s="24">
        <v>241990</v>
      </c>
      <c r="AP88" s="17"/>
      <c r="AQ88" s="35">
        <f t="shared" si="15"/>
        <v>2170902</v>
      </c>
      <c r="AR88" s="40"/>
      <c r="AS88" s="17">
        <v>0</v>
      </c>
      <c r="AT88" s="17"/>
      <c r="AU88" s="17">
        <v>0</v>
      </c>
      <c r="AV88" s="17"/>
      <c r="AW88" s="35">
        <f t="shared" si="13"/>
        <v>6229259</v>
      </c>
      <c r="AX88" s="17"/>
      <c r="AY88" s="81" t="s">
        <v>75</v>
      </c>
      <c r="AZ88" s="17"/>
      <c r="BA88" s="24">
        <f>780131</f>
        <v>780131</v>
      </c>
      <c r="BB88" s="17"/>
      <c r="BC88" s="24">
        <f>3185500</f>
        <v>3185500</v>
      </c>
      <c r="BD88" s="17"/>
      <c r="BE88" s="24">
        <f>393588+6154221</f>
        <v>6547809</v>
      </c>
      <c r="BF88" s="17"/>
      <c r="BG88" s="24">
        <f>268365+527267</f>
        <v>795632</v>
      </c>
      <c r="BH88" s="17"/>
      <c r="BI88" s="17"/>
      <c r="BJ88" s="17"/>
      <c r="BK88" s="35">
        <f t="shared" si="14"/>
        <v>11309072</v>
      </c>
      <c r="BL88" s="79"/>
    </row>
    <row r="89" spans="1:64" ht="12.75">
      <c r="A89" s="77" t="s">
        <v>76</v>
      </c>
      <c r="B89" s="77"/>
      <c r="C89" s="35">
        <f t="shared" si="16"/>
        <v>1450258</v>
      </c>
      <c r="D89" s="35"/>
      <c r="E89" s="24">
        <v>18418773</v>
      </c>
      <c r="F89" s="35"/>
      <c r="G89" s="24">
        <v>19869031</v>
      </c>
      <c r="H89" s="35"/>
      <c r="I89" s="35">
        <f t="shared" si="17"/>
        <v>250420</v>
      </c>
      <c r="J89" s="35"/>
      <c r="K89" s="24">
        <v>5686618</v>
      </c>
      <c r="L89" s="35"/>
      <c r="M89" s="24">
        <v>5937038</v>
      </c>
      <c r="N89" s="35"/>
      <c r="O89" s="24">
        <v>13068674</v>
      </c>
      <c r="P89" s="35"/>
      <c r="Q89" s="24">
        <v>0</v>
      </c>
      <c r="R89" s="35"/>
      <c r="S89" s="24">
        <v>863319</v>
      </c>
      <c r="T89" s="35"/>
      <c r="U89" s="35">
        <f t="shared" si="18"/>
        <v>13931993</v>
      </c>
      <c r="V89" s="35"/>
      <c r="W89" s="35">
        <f t="shared" si="11"/>
        <v>0</v>
      </c>
      <c r="X89" s="35"/>
      <c r="Y89" s="81" t="s">
        <v>76</v>
      </c>
      <c r="Z89" s="35"/>
      <c r="AA89" s="24">
        <v>1435405</v>
      </c>
      <c r="AB89" s="17"/>
      <c r="AC89" s="24">
        <f>1712565-446350</f>
        <v>1266215</v>
      </c>
      <c r="AD89" s="17"/>
      <c r="AE89" s="24">
        <v>446350</v>
      </c>
      <c r="AF89" s="17"/>
      <c r="AG89" s="35">
        <f t="shared" si="12"/>
        <v>-277160</v>
      </c>
      <c r="AH89" s="40"/>
      <c r="AI89" s="24">
        <v>681770</v>
      </c>
      <c r="AJ89" s="40"/>
      <c r="AK89" s="24">
        <v>0</v>
      </c>
      <c r="AL89" s="17"/>
      <c r="AM89" s="24">
        <v>0</v>
      </c>
      <c r="AN89" s="17"/>
      <c r="AO89" s="24">
        <v>0</v>
      </c>
      <c r="AP89" s="17"/>
      <c r="AQ89" s="35">
        <f t="shared" si="15"/>
        <v>404610</v>
      </c>
      <c r="AR89" s="40"/>
      <c r="AS89" s="17">
        <v>0</v>
      </c>
      <c r="AT89" s="17"/>
      <c r="AU89" s="17">
        <v>0</v>
      </c>
      <c r="AV89" s="17"/>
      <c r="AW89" s="35">
        <f t="shared" si="13"/>
        <v>1199838</v>
      </c>
      <c r="AX89" s="17"/>
      <c r="AY89" s="81" t="s">
        <v>76</v>
      </c>
      <c r="AZ89" s="17"/>
      <c r="BA89" s="24">
        <v>0</v>
      </c>
      <c r="BB89" s="17"/>
      <c r="BC89" s="24">
        <v>0</v>
      </c>
      <c r="BD89" s="17"/>
      <c r="BE89" s="24">
        <f>1300920+3717772</f>
        <v>5018692</v>
      </c>
      <c r="BF89" s="17"/>
      <c r="BG89" s="24">
        <f>19397+384529+264000</f>
        <v>667926</v>
      </c>
      <c r="BH89" s="17"/>
      <c r="BI89" s="17"/>
      <c r="BJ89" s="17"/>
      <c r="BK89" s="35">
        <f t="shared" si="14"/>
        <v>5686618</v>
      </c>
      <c r="BL89" s="79"/>
    </row>
    <row r="90" spans="1:64" ht="12.75" customHeight="1" hidden="1">
      <c r="A90" s="77" t="s">
        <v>77</v>
      </c>
      <c r="B90" s="77"/>
      <c r="C90" s="35">
        <f t="shared" si="16"/>
        <v>0</v>
      </c>
      <c r="D90" s="35"/>
      <c r="E90" s="24">
        <v>0</v>
      </c>
      <c r="F90" s="35"/>
      <c r="G90" s="24">
        <v>0</v>
      </c>
      <c r="H90" s="35"/>
      <c r="I90" s="35">
        <f t="shared" si="17"/>
        <v>0</v>
      </c>
      <c r="J90" s="35"/>
      <c r="K90" s="24">
        <v>0</v>
      </c>
      <c r="L90" s="35"/>
      <c r="M90" s="24">
        <v>0</v>
      </c>
      <c r="N90" s="35"/>
      <c r="O90" s="24">
        <v>0</v>
      </c>
      <c r="P90" s="35"/>
      <c r="Q90" s="24">
        <v>0</v>
      </c>
      <c r="R90" s="35"/>
      <c r="S90" s="24">
        <v>0</v>
      </c>
      <c r="T90" s="35"/>
      <c r="U90" s="35">
        <f t="shared" si="18"/>
        <v>0</v>
      </c>
      <c r="V90" s="35"/>
      <c r="W90" s="35">
        <f t="shared" si="11"/>
        <v>0</v>
      </c>
      <c r="X90" s="35"/>
      <c r="Y90" s="81" t="s">
        <v>77</v>
      </c>
      <c r="Z90" s="35"/>
      <c r="AA90" s="24">
        <v>0</v>
      </c>
      <c r="AB90" s="17"/>
      <c r="AC90" s="24">
        <v>0</v>
      </c>
      <c r="AD90" s="17"/>
      <c r="AE90" s="24">
        <v>0</v>
      </c>
      <c r="AF90" s="17"/>
      <c r="AG90" s="35">
        <f t="shared" si="12"/>
        <v>0</v>
      </c>
      <c r="AH90" s="40"/>
      <c r="AI90" s="24">
        <v>0</v>
      </c>
      <c r="AJ90" s="40"/>
      <c r="AK90" s="24">
        <v>0</v>
      </c>
      <c r="AL90" s="17"/>
      <c r="AM90" s="24">
        <v>0</v>
      </c>
      <c r="AN90" s="17"/>
      <c r="AO90" s="24">
        <v>0</v>
      </c>
      <c r="AP90" s="17"/>
      <c r="AQ90" s="35">
        <f t="shared" si="15"/>
        <v>0</v>
      </c>
      <c r="AR90" s="40"/>
      <c r="AS90" s="17">
        <v>0</v>
      </c>
      <c r="AT90" s="17"/>
      <c r="AU90" s="17">
        <v>0</v>
      </c>
      <c r="AV90" s="17"/>
      <c r="AW90" s="35">
        <f t="shared" si="13"/>
        <v>0</v>
      </c>
      <c r="AX90" s="17"/>
      <c r="AY90" s="81" t="s">
        <v>77</v>
      </c>
      <c r="AZ90" s="17"/>
      <c r="BA90" s="24">
        <v>0</v>
      </c>
      <c r="BB90" s="17"/>
      <c r="BC90" s="24">
        <v>0</v>
      </c>
      <c r="BD90" s="17"/>
      <c r="BE90" s="24">
        <v>0</v>
      </c>
      <c r="BF90" s="17"/>
      <c r="BG90" s="24">
        <v>0</v>
      </c>
      <c r="BH90" s="17"/>
      <c r="BI90" s="17"/>
      <c r="BJ90" s="17"/>
      <c r="BK90" s="35">
        <f t="shared" si="14"/>
        <v>0</v>
      </c>
      <c r="BL90" s="79"/>
    </row>
    <row r="91" spans="1:68" ht="12.75" customHeight="1" hidden="1">
      <c r="A91" s="77" t="s">
        <v>78</v>
      </c>
      <c r="B91" s="77"/>
      <c r="C91" s="35">
        <f t="shared" si="16"/>
        <v>0</v>
      </c>
      <c r="D91" s="35"/>
      <c r="E91" s="24">
        <v>0</v>
      </c>
      <c r="F91" s="35"/>
      <c r="G91" s="24">
        <v>0</v>
      </c>
      <c r="H91" s="35"/>
      <c r="I91" s="35">
        <f t="shared" si="17"/>
        <v>0</v>
      </c>
      <c r="J91" s="35"/>
      <c r="K91" s="24">
        <v>0</v>
      </c>
      <c r="L91" s="35"/>
      <c r="M91" s="24">
        <v>0</v>
      </c>
      <c r="N91" s="35"/>
      <c r="O91" s="24">
        <v>0</v>
      </c>
      <c r="P91" s="35"/>
      <c r="Q91" s="24">
        <v>0</v>
      </c>
      <c r="R91" s="35"/>
      <c r="S91" s="24">
        <v>0</v>
      </c>
      <c r="T91" s="35"/>
      <c r="U91" s="35">
        <f t="shared" si="18"/>
        <v>0</v>
      </c>
      <c r="V91" s="35"/>
      <c r="W91" s="35">
        <f t="shared" si="11"/>
        <v>0</v>
      </c>
      <c r="X91" s="35"/>
      <c r="Y91" s="81" t="s">
        <v>78</v>
      </c>
      <c r="Z91" s="35"/>
      <c r="AA91" s="24">
        <v>0</v>
      </c>
      <c r="AB91" s="17"/>
      <c r="AC91" s="24">
        <v>0</v>
      </c>
      <c r="AD91" s="17"/>
      <c r="AE91" s="24">
        <v>0</v>
      </c>
      <c r="AF91" s="17"/>
      <c r="AG91" s="35">
        <f t="shared" si="12"/>
        <v>0</v>
      </c>
      <c r="AH91" s="40"/>
      <c r="AI91" s="24">
        <v>0</v>
      </c>
      <c r="AJ91" s="40"/>
      <c r="AK91" s="24">
        <v>0</v>
      </c>
      <c r="AL91" s="17"/>
      <c r="AM91" s="24">
        <v>0</v>
      </c>
      <c r="AN91" s="17"/>
      <c r="AO91" s="24">
        <v>0</v>
      </c>
      <c r="AP91" s="17"/>
      <c r="AQ91" s="35">
        <f t="shared" si="15"/>
        <v>0</v>
      </c>
      <c r="AR91" s="40"/>
      <c r="AS91" s="17">
        <v>0</v>
      </c>
      <c r="AT91" s="17"/>
      <c r="AU91" s="17">
        <v>0</v>
      </c>
      <c r="AV91" s="17"/>
      <c r="AW91" s="35">
        <f t="shared" si="13"/>
        <v>0</v>
      </c>
      <c r="AX91" s="35"/>
      <c r="AY91" s="81" t="s">
        <v>78</v>
      </c>
      <c r="AZ91" s="35"/>
      <c r="BA91" s="24">
        <v>0</v>
      </c>
      <c r="BB91" s="17"/>
      <c r="BC91" s="24">
        <v>0</v>
      </c>
      <c r="BD91" s="17"/>
      <c r="BE91" s="24">
        <v>0</v>
      </c>
      <c r="BF91" s="17"/>
      <c r="BG91" s="24">
        <v>0</v>
      </c>
      <c r="BH91" s="17"/>
      <c r="BI91" s="17"/>
      <c r="BJ91" s="17"/>
      <c r="BK91" s="35">
        <f t="shared" si="14"/>
        <v>0</v>
      </c>
      <c r="BL91" s="79"/>
      <c r="BM91" s="79"/>
      <c r="BN91" s="79"/>
      <c r="BO91" s="79"/>
      <c r="BP91" s="79"/>
    </row>
    <row r="92" spans="1:64" ht="12.75" customHeight="1" hidden="1">
      <c r="A92" s="77" t="s">
        <v>79</v>
      </c>
      <c r="B92" s="77"/>
      <c r="C92" s="35">
        <f t="shared" si="16"/>
        <v>0</v>
      </c>
      <c r="D92" s="35"/>
      <c r="E92" s="24">
        <v>0</v>
      </c>
      <c r="F92" s="35"/>
      <c r="G92" s="24">
        <v>0</v>
      </c>
      <c r="H92" s="35"/>
      <c r="I92" s="35">
        <f t="shared" si="17"/>
        <v>0</v>
      </c>
      <c r="J92" s="35"/>
      <c r="K92" s="24">
        <v>0</v>
      </c>
      <c r="L92" s="35"/>
      <c r="M92" s="24">
        <v>0</v>
      </c>
      <c r="N92" s="35"/>
      <c r="O92" s="24">
        <v>0</v>
      </c>
      <c r="P92" s="35"/>
      <c r="Q92" s="24">
        <v>0</v>
      </c>
      <c r="R92" s="35"/>
      <c r="S92" s="24">
        <v>0</v>
      </c>
      <c r="T92" s="35"/>
      <c r="U92" s="35">
        <f t="shared" si="18"/>
        <v>0</v>
      </c>
      <c r="V92" s="35"/>
      <c r="W92" s="35">
        <f t="shared" si="11"/>
        <v>0</v>
      </c>
      <c r="X92" s="35"/>
      <c r="Y92" s="81" t="s">
        <v>79</v>
      </c>
      <c r="Z92" s="35"/>
      <c r="AA92" s="24">
        <v>0</v>
      </c>
      <c r="AB92" s="17"/>
      <c r="AC92" s="24">
        <v>0</v>
      </c>
      <c r="AD92" s="17"/>
      <c r="AE92" s="24">
        <v>0</v>
      </c>
      <c r="AF92" s="17"/>
      <c r="AG92" s="35">
        <f t="shared" si="12"/>
        <v>0</v>
      </c>
      <c r="AH92" s="40"/>
      <c r="AI92" s="24">
        <v>0</v>
      </c>
      <c r="AJ92" s="40"/>
      <c r="AK92" s="24">
        <v>0</v>
      </c>
      <c r="AL92" s="17"/>
      <c r="AM92" s="24">
        <v>0</v>
      </c>
      <c r="AN92" s="17"/>
      <c r="AO92" s="24">
        <v>0</v>
      </c>
      <c r="AP92" s="17"/>
      <c r="AQ92" s="35">
        <f t="shared" si="15"/>
        <v>0</v>
      </c>
      <c r="AR92" s="40"/>
      <c r="AS92" s="17">
        <v>0</v>
      </c>
      <c r="AT92" s="17"/>
      <c r="AU92" s="17">
        <v>0</v>
      </c>
      <c r="AV92" s="17"/>
      <c r="AW92" s="35">
        <f t="shared" si="13"/>
        <v>0</v>
      </c>
      <c r="AX92" s="35"/>
      <c r="AY92" s="81" t="s">
        <v>79</v>
      </c>
      <c r="AZ92" s="35"/>
      <c r="BA92" s="24">
        <v>0</v>
      </c>
      <c r="BB92" s="17"/>
      <c r="BC92" s="24">
        <v>0</v>
      </c>
      <c r="BD92" s="17"/>
      <c r="BE92" s="24">
        <v>0</v>
      </c>
      <c r="BF92" s="17"/>
      <c r="BG92" s="24">
        <v>0</v>
      </c>
      <c r="BH92" s="17"/>
      <c r="BI92" s="17"/>
      <c r="BJ92" s="17"/>
      <c r="BK92" s="35">
        <f t="shared" si="14"/>
        <v>0</v>
      </c>
      <c r="BL92" s="79"/>
    </row>
    <row r="93" spans="1:64" ht="12.75">
      <c r="A93" s="77" t="s">
        <v>80</v>
      </c>
      <c r="B93" s="77"/>
      <c r="C93" s="35">
        <f>+G93-E93</f>
        <v>14222257</v>
      </c>
      <c r="D93" s="35"/>
      <c r="E93" s="24">
        <v>99893983</v>
      </c>
      <c r="F93" s="35"/>
      <c r="G93" s="24">
        <v>114116240</v>
      </c>
      <c r="H93" s="35"/>
      <c r="I93" s="35">
        <f t="shared" si="17"/>
        <v>4077649</v>
      </c>
      <c r="J93" s="35"/>
      <c r="K93" s="24">
        <v>293450</v>
      </c>
      <c r="L93" s="35"/>
      <c r="M93" s="24">
        <v>4371099</v>
      </c>
      <c r="N93" s="35"/>
      <c r="O93" s="24">
        <v>99773887</v>
      </c>
      <c r="P93" s="35"/>
      <c r="Q93" s="24">
        <v>0</v>
      </c>
      <c r="R93" s="35"/>
      <c r="S93" s="24">
        <v>9971254</v>
      </c>
      <c r="T93" s="35"/>
      <c r="U93" s="35">
        <f t="shared" si="18"/>
        <v>109745141</v>
      </c>
      <c r="V93" s="35"/>
      <c r="W93" s="35">
        <f aca="true" t="shared" si="19" ref="W93:W98">+G93-M93-U93</f>
        <v>0</v>
      </c>
      <c r="X93" s="35"/>
      <c r="Y93" s="81" t="s">
        <v>80</v>
      </c>
      <c r="Z93" s="35"/>
      <c r="AA93" s="24">
        <v>8028278</v>
      </c>
      <c r="AB93" s="17"/>
      <c r="AC93" s="24">
        <f>10300818-3539420</f>
        <v>6761398</v>
      </c>
      <c r="AD93" s="17"/>
      <c r="AE93" s="24">
        <v>3539420</v>
      </c>
      <c r="AF93" s="17"/>
      <c r="AG93" s="35">
        <f aca="true" t="shared" si="20" ref="AG93:AG98">+AA93-AC93-AE93</f>
        <v>-2272540</v>
      </c>
      <c r="AH93" s="40"/>
      <c r="AI93" s="24">
        <v>5026285</v>
      </c>
      <c r="AJ93" s="40"/>
      <c r="AK93" s="24">
        <v>0</v>
      </c>
      <c r="AL93" s="17"/>
      <c r="AM93" s="24">
        <v>0</v>
      </c>
      <c r="AN93" s="17"/>
      <c r="AO93" s="24">
        <f>1171558+286079</f>
        <v>1457637</v>
      </c>
      <c r="AP93" s="17"/>
      <c r="AQ93" s="35">
        <f>+AO93+AK93-AM93+AI93+AG93</f>
        <v>4211382</v>
      </c>
      <c r="AR93" s="40"/>
      <c r="AS93" s="17">
        <v>0</v>
      </c>
      <c r="AT93" s="17"/>
      <c r="AU93" s="17">
        <v>0</v>
      </c>
      <c r="AV93" s="17"/>
      <c r="AW93" s="35">
        <f aca="true" t="shared" si="21" ref="AW93:AW98">+C93-I93</f>
        <v>10144608</v>
      </c>
      <c r="AX93" s="17"/>
      <c r="AY93" s="81" t="s">
        <v>80</v>
      </c>
      <c r="AZ93" s="17"/>
      <c r="BA93" s="24">
        <v>0</v>
      </c>
      <c r="BB93" s="17"/>
      <c r="BC93" s="24">
        <v>0</v>
      </c>
      <c r="BD93" s="17"/>
      <c r="BE93" s="24">
        <v>120096</v>
      </c>
      <c r="BF93" s="17"/>
      <c r="BG93" s="24">
        <v>173354</v>
      </c>
      <c r="BH93" s="17"/>
      <c r="BI93" s="17"/>
      <c r="BJ93" s="17"/>
      <c r="BK93" s="35">
        <f aca="true" t="shared" si="22" ref="BK93:BK98">SUM(BA93:BI93)</f>
        <v>293450</v>
      </c>
      <c r="BL93" s="79"/>
    </row>
    <row r="94" spans="1:68" ht="12.75">
      <c r="A94" s="77" t="s">
        <v>81</v>
      </c>
      <c r="B94" s="77"/>
      <c r="C94" s="35">
        <f t="shared" si="16"/>
        <v>1167293</v>
      </c>
      <c r="D94" s="35"/>
      <c r="E94" s="24">
        <f>1026452+4126964</f>
        <v>5153416</v>
      </c>
      <c r="F94" s="35"/>
      <c r="G94" s="24">
        <v>6320709</v>
      </c>
      <c r="H94" s="35"/>
      <c r="I94" s="35">
        <f t="shared" si="17"/>
        <v>761623</v>
      </c>
      <c r="J94" s="35"/>
      <c r="K94" s="24">
        <v>1642635</v>
      </c>
      <c r="L94" s="35"/>
      <c r="M94" s="24">
        <v>2404258</v>
      </c>
      <c r="N94" s="35"/>
      <c r="O94" s="24">
        <v>3261468</v>
      </c>
      <c r="P94" s="35"/>
      <c r="Q94" s="24">
        <v>0</v>
      </c>
      <c r="R94" s="35"/>
      <c r="S94" s="24">
        <v>654983</v>
      </c>
      <c r="T94" s="35"/>
      <c r="U94" s="35">
        <f t="shared" si="18"/>
        <v>3916451</v>
      </c>
      <c r="V94" s="35"/>
      <c r="W94" s="35">
        <f t="shared" si="19"/>
        <v>0</v>
      </c>
      <c r="X94" s="35"/>
      <c r="Y94" s="81" t="s">
        <v>81</v>
      </c>
      <c r="Z94" s="35"/>
      <c r="AA94" s="24">
        <v>786379</v>
      </c>
      <c r="AB94" s="17"/>
      <c r="AC94" s="24">
        <f>1178808-190929</f>
        <v>987879</v>
      </c>
      <c r="AD94" s="17"/>
      <c r="AE94" s="24">
        <v>190929</v>
      </c>
      <c r="AF94" s="17"/>
      <c r="AG94" s="35">
        <f t="shared" si="20"/>
        <v>-392429</v>
      </c>
      <c r="AH94" s="40"/>
      <c r="AI94" s="24">
        <v>692323</v>
      </c>
      <c r="AJ94" s="40"/>
      <c r="AK94" s="24">
        <v>0</v>
      </c>
      <c r="AL94" s="17"/>
      <c r="AM94" s="24">
        <v>0</v>
      </c>
      <c r="AN94" s="17"/>
      <c r="AO94" s="24">
        <v>0</v>
      </c>
      <c r="AP94" s="17"/>
      <c r="AQ94" s="35">
        <f>+AO94+AK94-AM94+AI94+AG94</f>
        <v>299894</v>
      </c>
      <c r="AR94" s="40"/>
      <c r="AS94" s="17">
        <v>0</v>
      </c>
      <c r="AT94" s="17"/>
      <c r="AU94" s="17">
        <v>0</v>
      </c>
      <c r="AV94" s="17"/>
      <c r="AW94" s="35">
        <f>+C94-I94</f>
        <v>405670</v>
      </c>
      <c r="AX94" s="35"/>
      <c r="AY94" s="81" t="s">
        <v>81</v>
      </c>
      <c r="AZ94" s="35"/>
      <c r="BA94" s="24">
        <v>0</v>
      </c>
      <c r="BB94" s="17"/>
      <c r="BC94" s="24">
        <v>0</v>
      </c>
      <c r="BD94" s="17"/>
      <c r="BE94" s="24">
        <f>729680+168713+743500</f>
        <v>1641893</v>
      </c>
      <c r="BF94" s="17"/>
      <c r="BG94" s="24">
        <f>742</f>
        <v>742</v>
      </c>
      <c r="BH94" s="17"/>
      <c r="BI94" s="17"/>
      <c r="BJ94" s="17"/>
      <c r="BK94" s="35">
        <f t="shared" si="22"/>
        <v>1642635</v>
      </c>
      <c r="BL94" s="79"/>
      <c r="BM94" s="79"/>
      <c r="BN94" s="79"/>
      <c r="BO94" s="79"/>
      <c r="BP94" s="79"/>
    </row>
    <row r="95" spans="1:64" ht="12.75">
      <c r="A95" s="77" t="s">
        <v>82</v>
      </c>
      <c r="B95" s="77"/>
      <c r="C95" s="35">
        <f t="shared" si="16"/>
        <v>855843</v>
      </c>
      <c r="D95" s="35"/>
      <c r="E95" s="24">
        <v>12103788</v>
      </c>
      <c r="F95" s="35"/>
      <c r="G95" s="24">
        <v>12959631</v>
      </c>
      <c r="H95" s="35"/>
      <c r="I95" s="35">
        <f t="shared" si="17"/>
        <v>437570</v>
      </c>
      <c r="J95" s="35"/>
      <c r="K95" s="24">
        <v>4160600</v>
      </c>
      <c r="L95" s="35"/>
      <c r="M95" s="24">
        <v>4598170</v>
      </c>
      <c r="N95" s="35"/>
      <c r="O95" s="24">
        <v>7699704</v>
      </c>
      <c r="P95" s="35"/>
      <c r="Q95" s="24">
        <v>0</v>
      </c>
      <c r="R95" s="35"/>
      <c r="S95" s="24">
        <v>661757</v>
      </c>
      <c r="T95" s="35"/>
      <c r="U95" s="35">
        <f t="shared" si="18"/>
        <v>8361461</v>
      </c>
      <c r="V95" s="35"/>
      <c r="W95" s="35">
        <f t="shared" si="19"/>
        <v>0</v>
      </c>
      <c r="X95" s="35"/>
      <c r="Y95" s="81" t="s">
        <v>82</v>
      </c>
      <c r="Z95" s="35"/>
      <c r="AA95" s="24">
        <v>851409</v>
      </c>
      <c r="AB95" s="17"/>
      <c r="AC95" s="24">
        <f>930174-271620</f>
        <v>658554</v>
      </c>
      <c r="AD95" s="17"/>
      <c r="AE95" s="24">
        <v>271620</v>
      </c>
      <c r="AF95" s="17"/>
      <c r="AG95" s="35">
        <f t="shared" si="20"/>
        <v>-78765</v>
      </c>
      <c r="AH95" s="40"/>
      <c r="AI95" s="24">
        <v>13645</v>
      </c>
      <c r="AJ95" s="40"/>
      <c r="AK95" s="24">
        <v>0</v>
      </c>
      <c r="AL95" s="17"/>
      <c r="AM95" s="24">
        <v>0</v>
      </c>
      <c r="AN95" s="17"/>
      <c r="AO95" s="24">
        <v>0</v>
      </c>
      <c r="AP95" s="17"/>
      <c r="AQ95" s="35">
        <f>+AO95+AK95-AM95+AI95+AG95</f>
        <v>-65120</v>
      </c>
      <c r="AR95" s="40"/>
      <c r="AS95" s="17">
        <v>0</v>
      </c>
      <c r="AT95" s="17"/>
      <c r="AU95" s="17">
        <v>0</v>
      </c>
      <c r="AV95" s="17"/>
      <c r="AW95" s="35">
        <f t="shared" si="21"/>
        <v>418273</v>
      </c>
      <c r="AX95" s="17"/>
      <c r="AY95" s="81" t="s">
        <v>82</v>
      </c>
      <c r="AZ95" s="17"/>
      <c r="BA95" s="24">
        <f>1728900</f>
        <v>1728900</v>
      </c>
      <c r="BB95" s="17"/>
      <c r="BC95" s="24">
        <v>2380000</v>
      </c>
      <c r="BD95" s="17"/>
      <c r="BE95" s="24">
        <f>19828</f>
        <v>19828</v>
      </c>
      <c r="BF95" s="17"/>
      <c r="BG95" s="24">
        <v>31872</v>
      </c>
      <c r="BH95" s="17"/>
      <c r="BI95" s="17"/>
      <c r="BJ95" s="17"/>
      <c r="BK95" s="35">
        <f t="shared" si="22"/>
        <v>4160600</v>
      </c>
      <c r="BL95" s="79"/>
    </row>
    <row r="96" spans="1:64" ht="12.75" customHeight="1" hidden="1">
      <c r="A96" s="77" t="s">
        <v>174</v>
      </c>
      <c r="B96" s="77"/>
      <c r="C96" s="35">
        <f t="shared" si="16"/>
        <v>0</v>
      </c>
      <c r="D96" s="35"/>
      <c r="E96" s="35">
        <v>0</v>
      </c>
      <c r="F96" s="35"/>
      <c r="G96" s="35">
        <v>0</v>
      </c>
      <c r="H96" s="35"/>
      <c r="I96" s="35">
        <f t="shared" si="17"/>
        <v>0</v>
      </c>
      <c r="J96" s="35"/>
      <c r="K96" s="35">
        <f>SUM(BK96)</f>
        <v>0</v>
      </c>
      <c r="L96" s="35"/>
      <c r="M96" s="35">
        <v>0</v>
      </c>
      <c r="N96" s="35"/>
      <c r="O96" s="35">
        <v>0</v>
      </c>
      <c r="P96" s="35"/>
      <c r="Q96" s="35">
        <v>0</v>
      </c>
      <c r="R96" s="35"/>
      <c r="S96" s="35">
        <v>0</v>
      </c>
      <c r="T96" s="35"/>
      <c r="U96" s="35">
        <f t="shared" si="18"/>
        <v>0</v>
      </c>
      <c r="V96" s="35"/>
      <c r="W96" s="35">
        <f t="shared" si="19"/>
        <v>0</v>
      </c>
      <c r="X96" s="35"/>
      <c r="Y96" s="77" t="s">
        <v>174</v>
      </c>
      <c r="Z96" s="35"/>
      <c r="AA96" s="35">
        <v>0</v>
      </c>
      <c r="AB96" s="17"/>
      <c r="AC96" s="35">
        <v>0</v>
      </c>
      <c r="AD96" s="17"/>
      <c r="AE96" s="35">
        <v>0</v>
      </c>
      <c r="AF96" s="17"/>
      <c r="AG96" s="35">
        <f t="shared" si="20"/>
        <v>0</v>
      </c>
      <c r="AH96" s="40"/>
      <c r="AI96" s="35">
        <v>0</v>
      </c>
      <c r="AJ96" s="40"/>
      <c r="AK96" s="35">
        <v>0</v>
      </c>
      <c r="AL96" s="17"/>
      <c r="AM96" s="35">
        <v>0</v>
      </c>
      <c r="AN96" s="17"/>
      <c r="AO96" s="35">
        <v>0</v>
      </c>
      <c r="AP96" s="17"/>
      <c r="AQ96" s="35">
        <f>+AO96+AK96-AM96+AI96+AG96</f>
        <v>0</v>
      </c>
      <c r="AR96" s="40"/>
      <c r="AS96" s="17">
        <v>0</v>
      </c>
      <c r="AT96" s="17"/>
      <c r="AU96" s="17">
        <v>0</v>
      </c>
      <c r="AV96" s="17"/>
      <c r="AW96" s="35">
        <f t="shared" si="21"/>
        <v>0</v>
      </c>
      <c r="AX96" s="35"/>
      <c r="AY96" s="77" t="s">
        <v>174</v>
      </c>
      <c r="AZ96" s="35"/>
      <c r="BA96" s="35">
        <v>0</v>
      </c>
      <c r="BB96" s="17"/>
      <c r="BC96" s="35">
        <v>0</v>
      </c>
      <c r="BD96" s="17"/>
      <c r="BE96" s="35">
        <v>0</v>
      </c>
      <c r="BF96" s="17"/>
      <c r="BG96" s="35">
        <v>0</v>
      </c>
      <c r="BH96" s="17"/>
      <c r="BI96" s="17"/>
      <c r="BJ96" s="17"/>
      <c r="BK96" s="35">
        <f t="shared" si="22"/>
        <v>0</v>
      </c>
      <c r="BL96" s="79"/>
    </row>
    <row r="97" spans="1:64" ht="12.75" customHeight="1" hidden="1">
      <c r="A97" s="77" t="s">
        <v>83</v>
      </c>
      <c r="B97" s="77"/>
      <c r="C97" s="35">
        <f t="shared" si="16"/>
        <v>0</v>
      </c>
      <c r="D97" s="35"/>
      <c r="E97" s="35">
        <v>0</v>
      </c>
      <c r="F97" s="35"/>
      <c r="G97" s="35">
        <v>0</v>
      </c>
      <c r="H97" s="35"/>
      <c r="I97" s="35">
        <f t="shared" si="17"/>
        <v>0</v>
      </c>
      <c r="J97" s="35"/>
      <c r="K97" s="35">
        <f>SUM(BK97)</f>
        <v>0</v>
      </c>
      <c r="L97" s="35"/>
      <c r="M97" s="35">
        <v>0</v>
      </c>
      <c r="N97" s="35"/>
      <c r="O97" s="35">
        <v>0</v>
      </c>
      <c r="P97" s="35"/>
      <c r="Q97" s="35">
        <v>0</v>
      </c>
      <c r="R97" s="35"/>
      <c r="S97" s="35">
        <v>0</v>
      </c>
      <c r="T97" s="35"/>
      <c r="U97" s="35">
        <f t="shared" si="18"/>
        <v>0</v>
      </c>
      <c r="V97" s="35"/>
      <c r="W97" s="35">
        <f t="shared" si="19"/>
        <v>0</v>
      </c>
      <c r="X97" s="35"/>
      <c r="Y97" s="77" t="s">
        <v>83</v>
      </c>
      <c r="Z97" s="35"/>
      <c r="AA97" s="35">
        <v>0</v>
      </c>
      <c r="AB97" s="17"/>
      <c r="AC97" s="35">
        <v>0</v>
      </c>
      <c r="AD97" s="17"/>
      <c r="AE97" s="35">
        <v>0</v>
      </c>
      <c r="AF97" s="17"/>
      <c r="AG97" s="35">
        <f t="shared" si="20"/>
        <v>0</v>
      </c>
      <c r="AH97" s="40"/>
      <c r="AI97" s="35">
        <v>0</v>
      </c>
      <c r="AJ97" s="40"/>
      <c r="AK97" s="35">
        <v>0</v>
      </c>
      <c r="AL97" s="17"/>
      <c r="AM97" s="35">
        <v>0</v>
      </c>
      <c r="AN97" s="17"/>
      <c r="AO97" s="35">
        <v>0</v>
      </c>
      <c r="AP97" s="17"/>
      <c r="AQ97" s="35">
        <f>+AO97+AK97-AM97+AI97+AG97</f>
        <v>0</v>
      </c>
      <c r="AR97" s="40"/>
      <c r="AS97" s="17">
        <v>0</v>
      </c>
      <c r="AT97" s="17"/>
      <c r="AU97" s="17">
        <v>0</v>
      </c>
      <c r="AV97" s="17"/>
      <c r="AW97" s="35">
        <f t="shared" si="21"/>
        <v>0</v>
      </c>
      <c r="AX97" s="35"/>
      <c r="AY97" s="77" t="s">
        <v>83</v>
      </c>
      <c r="AZ97" s="35"/>
      <c r="BA97" s="35">
        <v>0</v>
      </c>
      <c r="BB97" s="17"/>
      <c r="BC97" s="35">
        <v>0</v>
      </c>
      <c r="BD97" s="17"/>
      <c r="BE97" s="35">
        <v>0</v>
      </c>
      <c r="BF97" s="17"/>
      <c r="BG97" s="35">
        <v>0</v>
      </c>
      <c r="BH97" s="17"/>
      <c r="BI97" s="17"/>
      <c r="BJ97" s="17"/>
      <c r="BK97" s="35">
        <f t="shared" si="22"/>
        <v>0</v>
      </c>
      <c r="BL97" s="79"/>
    </row>
    <row r="98" spans="1:64" ht="12.75" customHeight="1" hidden="1">
      <c r="A98" s="77" t="s">
        <v>175</v>
      </c>
      <c r="B98" s="77"/>
      <c r="C98" s="35">
        <f>G98-E98</f>
        <v>0</v>
      </c>
      <c r="D98" s="35"/>
      <c r="E98" s="35">
        <v>0</v>
      </c>
      <c r="F98" s="35"/>
      <c r="G98" s="35">
        <v>0</v>
      </c>
      <c r="H98" s="35"/>
      <c r="I98" s="35">
        <f>M98-K98</f>
        <v>0</v>
      </c>
      <c r="J98" s="35"/>
      <c r="K98" s="35">
        <f>SUM(BK98)</f>
        <v>0</v>
      </c>
      <c r="L98" s="35"/>
      <c r="M98" s="35">
        <v>0</v>
      </c>
      <c r="N98" s="35"/>
      <c r="O98" s="35">
        <v>0</v>
      </c>
      <c r="P98" s="35"/>
      <c r="Q98" s="35">
        <v>0</v>
      </c>
      <c r="R98" s="35"/>
      <c r="S98" s="35">
        <v>0</v>
      </c>
      <c r="T98" s="35"/>
      <c r="U98" s="35">
        <f>SUM(O98:S98)</f>
        <v>0</v>
      </c>
      <c r="V98" s="35"/>
      <c r="W98" s="35">
        <f t="shared" si="19"/>
        <v>0</v>
      </c>
      <c r="X98" s="35"/>
      <c r="Y98" s="77" t="s">
        <v>175</v>
      </c>
      <c r="Z98" s="35"/>
      <c r="AA98" s="35">
        <v>0</v>
      </c>
      <c r="AB98" s="17"/>
      <c r="AC98" s="35">
        <v>0</v>
      </c>
      <c r="AD98" s="17"/>
      <c r="AE98" s="35">
        <v>0</v>
      </c>
      <c r="AF98" s="17"/>
      <c r="AG98" s="35">
        <f t="shared" si="20"/>
        <v>0</v>
      </c>
      <c r="AH98" s="40"/>
      <c r="AI98" s="35">
        <v>0</v>
      </c>
      <c r="AJ98" s="40"/>
      <c r="AK98" s="35">
        <v>0</v>
      </c>
      <c r="AL98" s="17"/>
      <c r="AM98" s="35">
        <v>0</v>
      </c>
      <c r="AN98" s="17"/>
      <c r="AO98" s="35">
        <v>0</v>
      </c>
      <c r="AP98" s="17"/>
      <c r="AQ98" s="35">
        <f>+AG98+AI98+AK98-AM98+AO98</f>
        <v>0</v>
      </c>
      <c r="AR98" s="40"/>
      <c r="AS98" s="17">
        <v>0</v>
      </c>
      <c r="AT98" s="17"/>
      <c r="AU98" s="17">
        <v>0</v>
      </c>
      <c r="AV98" s="17"/>
      <c r="AW98" s="35">
        <f t="shared" si="21"/>
        <v>0</v>
      </c>
      <c r="AX98" s="35"/>
      <c r="AY98" s="77" t="s">
        <v>175</v>
      </c>
      <c r="AZ98" s="35"/>
      <c r="BA98" s="35">
        <v>0</v>
      </c>
      <c r="BB98" s="17"/>
      <c r="BC98" s="35">
        <v>0</v>
      </c>
      <c r="BD98" s="17"/>
      <c r="BE98" s="35">
        <v>0</v>
      </c>
      <c r="BF98" s="17"/>
      <c r="BG98" s="35">
        <v>0</v>
      </c>
      <c r="BH98" s="17"/>
      <c r="BI98" s="17"/>
      <c r="BJ98" s="17"/>
      <c r="BK98" s="35">
        <f t="shared" si="22"/>
        <v>0</v>
      </c>
      <c r="BL98" s="79"/>
    </row>
    <row r="99" spans="1:64" ht="12.75">
      <c r="A99" s="77"/>
      <c r="B99" s="7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77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77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79"/>
    </row>
    <row r="100" spans="1:64" ht="12.75">
      <c r="A100" s="77"/>
      <c r="B100" s="7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77"/>
      <c r="Z100" s="69"/>
      <c r="AA100" s="69"/>
      <c r="AB100" s="69"/>
      <c r="AC100" s="84"/>
      <c r="AD100" s="84"/>
      <c r="AE100" s="84"/>
      <c r="AF100" s="84"/>
      <c r="AG100" s="69"/>
      <c r="AH100" s="85"/>
      <c r="AI100" s="85"/>
      <c r="AJ100" s="85"/>
      <c r="AK100" s="85"/>
      <c r="AL100" s="85"/>
      <c r="AM100" s="85"/>
      <c r="AN100" s="85"/>
      <c r="AO100" s="79"/>
      <c r="AP100" s="79"/>
      <c r="AQ100" s="69"/>
      <c r="AR100" s="79"/>
      <c r="AS100" s="79"/>
      <c r="AT100" s="79"/>
      <c r="AU100" s="79"/>
      <c r="AV100" s="79"/>
      <c r="AW100" s="69"/>
      <c r="AX100" s="79"/>
      <c r="AY100" s="77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69"/>
      <c r="BL100" s="79"/>
    </row>
    <row r="101" spans="1:64" ht="12.75">
      <c r="A101" s="77"/>
      <c r="B101" s="7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84"/>
      <c r="AD101" s="84"/>
      <c r="AE101" s="84"/>
      <c r="AF101" s="84"/>
      <c r="AG101" s="69"/>
      <c r="AH101" s="85"/>
      <c r="AI101" s="85"/>
      <c r="AJ101" s="85"/>
      <c r="AK101" s="85"/>
      <c r="AL101" s="85"/>
      <c r="AM101" s="85"/>
      <c r="AN101" s="85"/>
      <c r="AO101" s="79"/>
      <c r="AP101" s="79"/>
      <c r="AQ101" s="69"/>
      <c r="AR101" s="79"/>
      <c r="AS101" s="79"/>
      <c r="AT101" s="79"/>
      <c r="AU101" s="79"/>
      <c r="AV101" s="79"/>
      <c r="AW101" s="69"/>
      <c r="AX101" s="79"/>
      <c r="AY101" s="6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69"/>
      <c r="BL101" s="79"/>
    </row>
    <row r="102" spans="1:64" ht="12.75">
      <c r="A102" s="77"/>
      <c r="B102" s="7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84"/>
      <c r="AD102" s="84"/>
      <c r="AE102" s="84"/>
      <c r="AF102" s="84"/>
      <c r="AG102" s="69"/>
      <c r="AH102" s="85"/>
      <c r="AI102" s="85"/>
      <c r="AJ102" s="85"/>
      <c r="AK102" s="85"/>
      <c r="AL102" s="85"/>
      <c r="AM102" s="85"/>
      <c r="AN102" s="85"/>
      <c r="AO102" s="79"/>
      <c r="AP102" s="79"/>
      <c r="AQ102" s="69"/>
      <c r="AR102" s="79"/>
      <c r="AS102" s="79"/>
      <c r="AT102" s="79"/>
      <c r="AU102" s="79"/>
      <c r="AV102" s="79"/>
      <c r="AW102" s="69"/>
      <c r="AX102" s="79"/>
      <c r="AY102" s="6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69"/>
      <c r="BL102" s="79"/>
    </row>
    <row r="103" spans="1:64" ht="12.75">
      <c r="A103" s="77"/>
      <c r="B103" s="7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84"/>
      <c r="AD103" s="84"/>
      <c r="AE103" s="84"/>
      <c r="AF103" s="84"/>
      <c r="AG103" s="69"/>
      <c r="AH103" s="85"/>
      <c r="AI103" s="85"/>
      <c r="AJ103" s="85"/>
      <c r="AK103" s="85"/>
      <c r="AL103" s="85"/>
      <c r="AM103" s="85"/>
      <c r="AN103" s="85"/>
      <c r="AO103" s="79"/>
      <c r="AP103" s="79"/>
      <c r="AQ103" s="69"/>
      <c r="AR103" s="79"/>
      <c r="AS103" s="79"/>
      <c r="AT103" s="79"/>
      <c r="AU103" s="79"/>
      <c r="AV103" s="79"/>
      <c r="AW103" s="69"/>
      <c r="AX103" s="79"/>
      <c r="AY103" s="6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69"/>
      <c r="BL103" s="79"/>
    </row>
    <row r="104" spans="1:64" ht="12.75">
      <c r="A104" s="77"/>
      <c r="B104" s="7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84"/>
      <c r="AD104" s="84"/>
      <c r="AE104" s="84"/>
      <c r="AF104" s="84"/>
      <c r="AG104" s="69"/>
      <c r="AH104" s="85"/>
      <c r="AI104" s="85"/>
      <c r="AJ104" s="85"/>
      <c r="AK104" s="85"/>
      <c r="AL104" s="85"/>
      <c r="AM104" s="85"/>
      <c r="AN104" s="85"/>
      <c r="AO104" s="79"/>
      <c r="AP104" s="79"/>
      <c r="AQ104" s="69"/>
      <c r="AR104" s="79"/>
      <c r="AS104" s="79"/>
      <c r="AT104" s="79"/>
      <c r="AU104" s="79"/>
      <c r="AV104" s="79"/>
      <c r="AW104" s="69"/>
      <c r="AX104" s="79"/>
      <c r="AY104" s="6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69"/>
      <c r="BL104" s="79"/>
    </row>
    <row r="105" spans="1:64" ht="12.75">
      <c r="A105" s="77"/>
      <c r="B105" s="7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84"/>
      <c r="AD105" s="84"/>
      <c r="AE105" s="84"/>
      <c r="AF105" s="84"/>
      <c r="AG105" s="69"/>
      <c r="AH105" s="85"/>
      <c r="AI105" s="85"/>
      <c r="AJ105" s="85"/>
      <c r="AK105" s="85"/>
      <c r="AL105" s="85"/>
      <c r="AM105" s="85"/>
      <c r="AN105" s="85"/>
      <c r="AO105" s="79"/>
      <c r="AP105" s="79"/>
      <c r="AQ105" s="69"/>
      <c r="AR105" s="79"/>
      <c r="AS105" s="79"/>
      <c r="AT105" s="79"/>
      <c r="AU105" s="79"/>
      <c r="AV105" s="79"/>
      <c r="AW105" s="69"/>
      <c r="AX105" s="79"/>
      <c r="AY105" s="6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69"/>
      <c r="BL105" s="79"/>
    </row>
    <row r="106" spans="1:64" ht="12.75">
      <c r="A106" s="77"/>
      <c r="B106" s="7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84"/>
      <c r="AD106" s="84"/>
      <c r="AE106" s="84"/>
      <c r="AF106" s="84"/>
      <c r="AG106" s="69"/>
      <c r="AH106" s="85"/>
      <c r="AI106" s="85"/>
      <c r="AJ106" s="85"/>
      <c r="AK106" s="85"/>
      <c r="AL106" s="85"/>
      <c r="AM106" s="85"/>
      <c r="AN106" s="85"/>
      <c r="AO106" s="79"/>
      <c r="AP106" s="79"/>
      <c r="AQ106" s="69"/>
      <c r="AR106" s="79"/>
      <c r="AS106" s="79"/>
      <c r="AT106" s="79"/>
      <c r="AU106" s="79"/>
      <c r="AV106" s="79"/>
      <c r="AW106" s="69"/>
      <c r="AX106" s="79"/>
      <c r="AY106" s="6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69"/>
      <c r="BL106" s="79"/>
    </row>
    <row r="107" spans="1:64" ht="12.75">
      <c r="A107" s="77"/>
      <c r="B107" s="7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84"/>
      <c r="AD107" s="84"/>
      <c r="AE107" s="84"/>
      <c r="AF107" s="84"/>
      <c r="AG107" s="69"/>
      <c r="AH107" s="85"/>
      <c r="AI107" s="85"/>
      <c r="AJ107" s="85"/>
      <c r="AK107" s="85"/>
      <c r="AL107" s="85"/>
      <c r="AM107" s="85"/>
      <c r="AN107" s="85"/>
      <c r="AO107" s="79"/>
      <c r="AP107" s="79"/>
      <c r="AQ107" s="69"/>
      <c r="AR107" s="79"/>
      <c r="AS107" s="79"/>
      <c r="AT107" s="79"/>
      <c r="AU107" s="79"/>
      <c r="AV107" s="79"/>
      <c r="AW107" s="69"/>
      <c r="AX107" s="79"/>
      <c r="AY107" s="6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69"/>
      <c r="BL107" s="79"/>
    </row>
    <row r="108" spans="1:64" ht="12.75">
      <c r="A108" s="77"/>
      <c r="B108" s="7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84"/>
      <c r="AD108" s="84"/>
      <c r="AE108" s="84"/>
      <c r="AF108" s="84"/>
      <c r="AG108" s="69"/>
      <c r="AH108" s="85"/>
      <c r="AI108" s="85"/>
      <c r="AJ108" s="85"/>
      <c r="AK108" s="85"/>
      <c r="AL108" s="85"/>
      <c r="AM108" s="85"/>
      <c r="AN108" s="85"/>
      <c r="AO108" s="79"/>
      <c r="AP108" s="79"/>
      <c r="AQ108" s="69"/>
      <c r="AR108" s="79"/>
      <c r="AS108" s="79"/>
      <c r="AT108" s="79"/>
      <c r="AU108" s="79"/>
      <c r="AV108" s="79"/>
      <c r="AW108" s="69"/>
      <c r="AX108" s="79"/>
      <c r="AY108" s="6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69"/>
      <c r="BL108" s="79"/>
    </row>
    <row r="109" spans="1:64" ht="12.75">
      <c r="A109" s="77"/>
      <c r="B109" s="7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84"/>
      <c r="AD109" s="84"/>
      <c r="AE109" s="84"/>
      <c r="AF109" s="84"/>
      <c r="AG109" s="69"/>
      <c r="AH109" s="85"/>
      <c r="AI109" s="85"/>
      <c r="AJ109" s="85"/>
      <c r="AK109" s="85"/>
      <c r="AL109" s="85"/>
      <c r="AM109" s="85"/>
      <c r="AN109" s="85"/>
      <c r="AO109" s="79"/>
      <c r="AP109" s="79"/>
      <c r="AQ109" s="69"/>
      <c r="AR109" s="79"/>
      <c r="AS109" s="79"/>
      <c r="AT109" s="79"/>
      <c r="AU109" s="79"/>
      <c r="AV109" s="79"/>
      <c r="AW109" s="69"/>
      <c r="AX109" s="79"/>
      <c r="AY109" s="6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69"/>
      <c r="BL109" s="79"/>
    </row>
    <row r="110" spans="1:64" ht="12.75">
      <c r="A110" s="77"/>
      <c r="B110" s="7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84"/>
      <c r="AD110" s="84"/>
      <c r="AE110" s="84"/>
      <c r="AF110" s="84"/>
      <c r="AG110" s="69"/>
      <c r="AH110" s="85"/>
      <c r="AI110" s="85"/>
      <c r="AJ110" s="85"/>
      <c r="AK110" s="85"/>
      <c r="AL110" s="85"/>
      <c r="AM110" s="85"/>
      <c r="AN110" s="85"/>
      <c r="AO110" s="79"/>
      <c r="AP110" s="79"/>
      <c r="AQ110" s="69"/>
      <c r="AR110" s="79"/>
      <c r="AS110" s="79"/>
      <c r="AT110" s="79"/>
      <c r="AU110" s="79"/>
      <c r="AV110" s="79"/>
      <c r="AW110" s="69"/>
      <c r="AX110" s="79"/>
      <c r="AY110" s="6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69"/>
      <c r="BL110" s="79"/>
    </row>
    <row r="111" spans="1:64" ht="12.75">
      <c r="A111" s="77"/>
      <c r="B111" s="7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84"/>
      <c r="AD111" s="84"/>
      <c r="AE111" s="84"/>
      <c r="AF111" s="84"/>
      <c r="AG111" s="69"/>
      <c r="AH111" s="85"/>
      <c r="AI111" s="85"/>
      <c r="AJ111" s="85"/>
      <c r="AK111" s="85"/>
      <c r="AL111" s="85"/>
      <c r="AM111" s="85"/>
      <c r="AN111" s="85"/>
      <c r="AO111" s="79"/>
      <c r="AP111" s="79"/>
      <c r="AQ111" s="69"/>
      <c r="AR111" s="79"/>
      <c r="AS111" s="79"/>
      <c r="AT111" s="79"/>
      <c r="AU111" s="79"/>
      <c r="AV111" s="79"/>
      <c r="AW111" s="69"/>
      <c r="AX111" s="79"/>
      <c r="AY111" s="6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69"/>
      <c r="BL111" s="79"/>
    </row>
    <row r="112" spans="1:64" ht="12.75">
      <c r="A112" s="77"/>
      <c r="B112" s="7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84"/>
      <c r="AD112" s="84"/>
      <c r="AE112" s="84"/>
      <c r="AF112" s="84"/>
      <c r="AG112" s="69"/>
      <c r="AH112" s="85"/>
      <c r="AI112" s="85"/>
      <c r="AJ112" s="85"/>
      <c r="AK112" s="85"/>
      <c r="AL112" s="85"/>
      <c r="AM112" s="85"/>
      <c r="AN112" s="85"/>
      <c r="AO112" s="79"/>
      <c r="AP112" s="79"/>
      <c r="AQ112" s="69"/>
      <c r="AR112" s="79"/>
      <c r="AS112" s="79"/>
      <c r="AT112" s="79"/>
      <c r="AU112" s="79"/>
      <c r="AV112" s="79"/>
      <c r="AW112" s="69"/>
      <c r="AX112" s="79"/>
      <c r="AY112" s="6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69"/>
      <c r="BL112" s="79"/>
    </row>
    <row r="113" spans="1:64" ht="12.75">
      <c r="A113" s="77"/>
      <c r="B113" s="7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84"/>
      <c r="AD113" s="84"/>
      <c r="AE113" s="84"/>
      <c r="AF113" s="84"/>
      <c r="AG113" s="69"/>
      <c r="AH113" s="85"/>
      <c r="AI113" s="85"/>
      <c r="AJ113" s="85"/>
      <c r="AK113" s="85"/>
      <c r="AL113" s="85"/>
      <c r="AM113" s="85"/>
      <c r="AN113" s="85"/>
      <c r="AO113" s="79"/>
      <c r="AP113" s="79"/>
      <c r="AQ113" s="69"/>
      <c r="AR113" s="79"/>
      <c r="AS113" s="79"/>
      <c r="AT113" s="79"/>
      <c r="AU113" s="79"/>
      <c r="AV113" s="79"/>
      <c r="AW113" s="69"/>
      <c r="AX113" s="79"/>
      <c r="AY113" s="6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69"/>
      <c r="BL113" s="79"/>
    </row>
    <row r="114" spans="1:64" ht="12.75">
      <c r="A114" s="77"/>
      <c r="B114" s="7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84"/>
      <c r="AD114" s="84"/>
      <c r="AE114" s="84"/>
      <c r="AF114" s="84"/>
      <c r="AG114" s="69"/>
      <c r="AH114" s="85"/>
      <c r="AI114" s="85"/>
      <c r="AJ114" s="85"/>
      <c r="AK114" s="85"/>
      <c r="AL114" s="85"/>
      <c r="AM114" s="85"/>
      <c r="AN114" s="85"/>
      <c r="AO114" s="79"/>
      <c r="AP114" s="79"/>
      <c r="AQ114" s="69"/>
      <c r="AR114" s="79"/>
      <c r="AS114" s="79"/>
      <c r="AT114" s="79"/>
      <c r="AU114" s="79"/>
      <c r="AV114" s="79"/>
      <c r="AW114" s="69"/>
      <c r="AX114" s="79"/>
      <c r="AY114" s="6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69"/>
      <c r="BL114" s="79"/>
    </row>
    <row r="115" spans="1:64" ht="12.75">
      <c r="A115" s="77"/>
      <c r="B115" s="7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84"/>
      <c r="AD115" s="84"/>
      <c r="AE115" s="84"/>
      <c r="AF115" s="84"/>
      <c r="AG115" s="69"/>
      <c r="AH115" s="85"/>
      <c r="AI115" s="85"/>
      <c r="AJ115" s="85"/>
      <c r="AK115" s="85"/>
      <c r="AL115" s="85"/>
      <c r="AM115" s="85"/>
      <c r="AN115" s="85"/>
      <c r="AO115" s="79"/>
      <c r="AP115" s="79"/>
      <c r="AQ115" s="69"/>
      <c r="AR115" s="79"/>
      <c r="AS115" s="79"/>
      <c r="AT115" s="79"/>
      <c r="AU115" s="79"/>
      <c r="AV115" s="79"/>
      <c r="AW115" s="69"/>
      <c r="AX115" s="79"/>
      <c r="AY115" s="6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69"/>
      <c r="BL115" s="79"/>
    </row>
    <row r="116" spans="1:64" ht="12.75">
      <c r="A116" s="77"/>
      <c r="B116" s="7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84"/>
      <c r="AD116" s="84"/>
      <c r="AE116" s="84"/>
      <c r="AF116" s="84"/>
      <c r="AG116" s="69"/>
      <c r="AH116" s="85"/>
      <c r="AI116" s="85"/>
      <c r="AJ116" s="85"/>
      <c r="AK116" s="85"/>
      <c r="AL116" s="85"/>
      <c r="AM116" s="85"/>
      <c r="AN116" s="85"/>
      <c r="AO116" s="79"/>
      <c r="AP116" s="79"/>
      <c r="AQ116" s="69"/>
      <c r="AR116" s="79"/>
      <c r="AS116" s="79"/>
      <c r="AT116" s="79"/>
      <c r="AU116" s="79"/>
      <c r="AV116" s="79"/>
      <c r="AW116" s="69"/>
      <c r="AX116" s="79"/>
      <c r="AY116" s="6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69"/>
      <c r="BL116" s="79"/>
    </row>
    <row r="117" spans="1:63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116"/>
      <c r="AI117" s="116"/>
      <c r="AJ117" s="116"/>
      <c r="AK117" s="116"/>
      <c r="AL117" s="116"/>
      <c r="AM117" s="116"/>
      <c r="AN117" s="116"/>
      <c r="AO117" s="77"/>
      <c r="AP117" s="77"/>
      <c r="AQ117" s="77"/>
      <c r="AW117" s="77"/>
      <c r="AY117" s="77"/>
      <c r="BK117" s="77"/>
    </row>
    <row r="118" spans="1:63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116"/>
      <c r="AI118" s="116"/>
      <c r="AJ118" s="116"/>
      <c r="AK118" s="116"/>
      <c r="AL118" s="116"/>
      <c r="AM118" s="116"/>
      <c r="AN118" s="116"/>
      <c r="AO118" s="77"/>
      <c r="AP118" s="77"/>
      <c r="AQ118" s="77"/>
      <c r="AW118" s="77"/>
      <c r="AY118" s="77"/>
      <c r="BK118" s="77"/>
    </row>
    <row r="119" spans="1:63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16"/>
      <c r="AI119" s="116"/>
      <c r="AJ119" s="116"/>
      <c r="AK119" s="116"/>
      <c r="AL119" s="116"/>
      <c r="AM119" s="116"/>
      <c r="AN119" s="116"/>
      <c r="AO119" s="77"/>
      <c r="AP119" s="77"/>
      <c r="AQ119" s="77"/>
      <c r="AW119" s="77"/>
      <c r="AY119" s="77"/>
      <c r="BK119" s="77"/>
    </row>
    <row r="120" spans="1:63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116"/>
      <c r="AI120" s="116"/>
      <c r="AJ120" s="116"/>
      <c r="AK120" s="116"/>
      <c r="AL120" s="116"/>
      <c r="AM120" s="116"/>
      <c r="AN120" s="116"/>
      <c r="AO120" s="77"/>
      <c r="AP120" s="77"/>
      <c r="AQ120" s="77"/>
      <c r="AW120" s="77"/>
      <c r="AY120" s="77"/>
      <c r="BK120" s="77"/>
    </row>
    <row r="121" spans="1:63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116"/>
      <c r="AI121" s="116"/>
      <c r="AJ121" s="116"/>
      <c r="AK121" s="116"/>
      <c r="AL121" s="116"/>
      <c r="AM121" s="116"/>
      <c r="AN121" s="116"/>
      <c r="AO121" s="77"/>
      <c r="AP121" s="77"/>
      <c r="AQ121" s="77"/>
      <c r="AW121" s="77"/>
      <c r="AY121" s="77"/>
      <c r="BK121" s="77"/>
    </row>
    <row r="122" spans="1:63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16"/>
      <c r="AI122" s="116"/>
      <c r="AJ122" s="116"/>
      <c r="AK122" s="116"/>
      <c r="AL122" s="116"/>
      <c r="AM122" s="116"/>
      <c r="AN122" s="116"/>
      <c r="AO122" s="77"/>
      <c r="AP122" s="77"/>
      <c r="AQ122" s="77"/>
      <c r="AW122" s="77"/>
      <c r="AY122" s="77"/>
      <c r="BK122" s="77"/>
    </row>
    <row r="123" spans="1:63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116"/>
      <c r="AI123" s="116"/>
      <c r="AJ123" s="116"/>
      <c r="AK123" s="116"/>
      <c r="AL123" s="116"/>
      <c r="AM123" s="116"/>
      <c r="AN123" s="116"/>
      <c r="AO123" s="77"/>
      <c r="AP123" s="77"/>
      <c r="AQ123" s="77"/>
      <c r="AW123" s="77"/>
      <c r="AY123" s="77"/>
      <c r="BK123" s="77"/>
    </row>
    <row r="124" spans="1:63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116"/>
      <c r="AI124" s="116"/>
      <c r="AJ124" s="116"/>
      <c r="AK124" s="116"/>
      <c r="AL124" s="116"/>
      <c r="AM124" s="116"/>
      <c r="AN124" s="116"/>
      <c r="AO124" s="77"/>
      <c r="AP124" s="77"/>
      <c r="AQ124" s="77"/>
      <c r="AW124" s="77"/>
      <c r="AY124" s="77"/>
      <c r="BK124" s="77"/>
    </row>
    <row r="125" spans="1:63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16"/>
      <c r="AI125" s="116"/>
      <c r="AJ125" s="116"/>
      <c r="AK125" s="116"/>
      <c r="AL125" s="116"/>
      <c r="AM125" s="116"/>
      <c r="AN125" s="116"/>
      <c r="AO125" s="77"/>
      <c r="AP125" s="77"/>
      <c r="AQ125" s="77"/>
      <c r="AW125" s="77"/>
      <c r="AY125" s="77"/>
      <c r="BK125" s="77"/>
    </row>
    <row r="126" spans="1:63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116"/>
      <c r="AI126" s="116"/>
      <c r="AJ126" s="116"/>
      <c r="AK126" s="116"/>
      <c r="AL126" s="116"/>
      <c r="AM126" s="116"/>
      <c r="AN126" s="116"/>
      <c r="AO126" s="77"/>
      <c r="AP126" s="77"/>
      <c r="AQ126" s="77"/>
      <c r="AW126" s="77"/>
      <c r="AY126" s="77"/>
      <c r="BK126" s="77"/>
    </row>
    <row r="127" spans="1:63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116"/>
      <c r="AI127" s="116"/>
      <c r="AJ127" s="116"/>
      <c r="AK127" s="116"/>
      <c r="AL127" s="116"/>
      <c r="AM127" s="116"/>
      <c r="AN127" s="116"/>
      <c r="AO127" s="77"/>
      <c r="AP127" s="77"/>
      <c r="AQ127" s="77"/>
      <c r="AW127" s="77"/>
      <c r="AY127" s="77"/>
      <c r="BK127" s="77"/>
    </row>
    <row r="128" spans="1:63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16"/>
      <c r="AI128" s="116"/>
      <c r="AJ128" s="116"/>
      <c r="AK128" s="116"/>
      <c r="AL128" s="116"/>
      <c r="AM128" s="116"/>
      <c r="AN128" s="116"/>
      <c r="AO128" s="77"/>
      <c r="AP128" s="77"/>
      <c r="AQ128" s="77"/>
      <c r="AW128" s="77"/>
      <c r="AY128" s="77"/>
      <c r="BK128" s="77"/>
    </row>
    <row r="129" spans="1:63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116"/>
      <c r="AI129" s="116"/>
      <c r="AJ129" s="116"/>
      <c r="AK129" s="116"/>
      <c r="AL129" s="116"/>
      <c r="AM129" s="116"/>
      <c r="AN129" s="116"/>
      <c r="AO129" s="77"/>
      <c r="AP129" s="77"/>
      <c r="AQ129" s="77"/>
      <c r="AW129" s="77"/>
      <c r="AY129" s="77"/>
      <c r="BK129" s="77"/>
    </row>
    <row r="130" spans="1:63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116"/>
      <c r="AI130" s="116"/>
      <c r="AJ130" s="116"/>
      <c r="AK130" s="116"/>
      <c r="AL130" s="116"/>
      <c r="AM130" s="116"/>
      <c r="AN130" s="116"/>
      <c r="AO130" s="77"/>
      <c r="AP130" s="77"/>
      <c r="AQ130" s="77"/>
      <c r="AW130" s="77"/>
      <c r="AY130" s="77"/>
      <c r="BK130" s="77"/>
    </row>
    <row r="131" spans="1:63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16"/>
      <c r="AI131" s="116"/>
      <c r="AJ131" s="116"/>
      <c r="AK131" s="116"/>
      <c r="AL131" s="116"/>
      <c r="AM131" s="116"/>
      <c r="AN131" s="116"/>
      <c r="AO131" s="77"/>
      <c r="AP131" s="77"/>
      <c r="AQ131" s="77"/>
      <c r="AW131" s="77"/>
      <c r="AY131" s="77"/>
      <c r="BK131" s="77"/>
    </row>
    <row r="132" spans="1:63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116"/>
      <c r="AI132" s="116"/>
      <c r="AJ132" s="116"/>
      <c r="AK132" s="116"/>
      <c r="AL132" s="116"/>
      <c r="AM132" s="116"/>
      <c r="AN132" s="116"/>
      <c r="AO132" s="77"/>
      <c r="AP132" s="77"/>
      <c r="AQ132" s="77"/>
      <c r="AW132" s="77"/>
      <c r="AY132" s="77"/>
      <c r="BK132" s="77"/>
    </row>
    <row r="133" spans="1:63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116"/>
      <c r="AI133" s="116"/>
      <c r="AJ133" s="116"/>
      <c r="AK133" s="116"/>
      <c r="AL133" s="116"/>
      <c r="AM133" s="116"/>
      <c r="AN133" s="116"/>
      <c r="AO133" s="77"/>
      <c r="AP133" s="77"/>
      <c r="AQ133" s="77"/>
      <c r="AW133" s="77"/>
      <c r="AY133" s="77"/>
      <c r="BK133" s="77"/>
    </row>
  </sheetData>
  <sheetProtection/>
  <printOptions/>
  <pageMargins left="0.75" right="0.75" top="0.4" bottom="0.4" header="0" footer="0.25"/>
  <pageSetup firstPageNumber="46" useFirstPageNumber="1" horizontalDpi="600" verticalDpi="600" orientation="portrait" scale="95" r:id="rId1"/>
  <headerFooter scaleWithDoc="0" alignWithMargins="0">
    <oddFooter>&amp;C&amp;"Times New Roman,Regular"&amp;11&amp;P</oddFooter>
  </headerFooter>
  <colBreaks count="4" manualBreakCount="4">
    <brk id="12" max="94" man="1"/>
    <brk id="22" max="93" man="1"/>
    <brk id="36" max="94" man="1"/>
    <brk id="50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H113"/>
  <sheetViews>
    <sheetView zoomScale="120" zoomScaleNormal="120" zoomScaleSheetLayoutView="100" zoomScalePageLayoutView="0" workbookViewId="0" topLeftCell="A1">
      <pane xSplit="1" ySplit="9" topLeftCell="AH10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A6" sqref="A6"/>
    </sheetView>
  </sheetViews>
  <sheetFormatPr defaultColWidth="8.421875" defaultRowHeight="12.75"/>
  <cols>
    <col min="1" max="1" width="15.7109375" style="114" customWidth="1"/>
    <col min="2" max="2" width="1.7109375" style="114" customWidth="1"/>
    <col min="3" max="3" width="11.7109375" style="114" customWidth="1"/>
    <col min="4" max="4" width="1.7109375" style="114" customWidth="1"/>
    <col min="5" max="5" width="11.7109375" style="114" customWidth="1"/>
    <col min="6" max="6" width="1.7109375" style="114" customWidth="1"/>
    <col min="7" max="7" width="11.7109375" style="114" customWidth="1"/>
    <col min="8" max="8" width="1.7109375" style="114" customWidth="1"/>
    <col min="9" max="9" width="11.7109375" style="114" customWidth="1"/>
    <col min="10" max="10" width="1.7109375" style="114" customWidth="1"/>
    <col min="11" max="11" width="11.7109375" style="114" customWidth="1"/>
    <col min="12" max="12" width="1.7109375" style="114" customWidth="1"/>
    <col min="13" max="13" width="11.7109375" style="114" customWidth="1"/>
    <col min="14" max="14" width="1.7109375" style="114" customWidth="1"/>
    <col min="15" max="15" width="11.7109375" style="114" customWidth="1"/>
    <col min="16" max="16" width="1.7109375" style="114" customWidth="1"/>
    <col min="17" max="17" width="11.7109375" style="114" customWidth="1"/>
    <col min="18" max="18" width="1.7109375" style="114" customWidth="1"/>
    <col min="19" max="19" width="11.7109375" style="114" customWidth="1"/>
    <col min="20" max="20" width="1.7109375" style="114" customWidth="1"/>
    <col min="21" max="21" width="11.7109375" style="114" customWidth="1"/>
    <col min="22" max="22" width="1.7109375" style="114" customWidth="1"/>
    <col min="23" max="23" width="15.7109375" style="114" customWidth="1"/>
    <col min="24" max="24" width="1.7109375" style="114" customWidth="1"/>
    <col min="25" max="25" width="11.7109375" style="114" customWidth="1"/>
    <col min="26" max="26" width="1.7109375" style="114" customWidth="1"/>
    <col min="27" max="27" width="11.7109375" style="114" customWidth="1"/>
    <col min="28" max="28" width="1.7109375" style="114" customWidth="1"/>
    <col min="29" max="29" width="11.7109375" style="114" customWidth="1"/>
    <col min="30" max="30" width="1.7109375" style="114" customWidth="1"/>
    <col min="31" max="31" width="11.7109375" style="114" customWidth="1"/>
    <col min="32" max="32" width="1.7109375" style="117" customWidth="1"/>
    <col min="33" max="33" width="11.7109375" style="117" customWidth="1"/>
    <col min="34" max="34" width="1.7109375" style="117" customWidth="1"/>
    <col min="35" max="35" width="10.7109375" style="117" customWidth="1"/>
    <col min="36" max="36" width="1.7109375" style="117" customWidth="1"/>
    <col min="37" max="37" width="10.7109375" style="117" customWidth="1"/>
    <col min="38" max="38" width="1.7109375" style="117" customWidth="1"/>
    <col min="39" max="39" width="10.7109375" style="82" customWidth="1"/>
    <col min="40" max="40" width="1.7109375" style="82" customWidth="1"/>
    <col min="41" max="41" width="11.7109375" style="114" customWidth="1"/>
    <col min="42" max="42" width="1.7109375" style="82" customWidth="1"/>
    <col min="43" max="43" width="10.7109375" style="82" hidden="1" customWidth="1"/>
    <col min="44" max="44" width="1.7109375" style="82" hidden="1" customWidth="1"/>
    <col min="45" max="45" width="10.7109375" style="82" hidden="1" customWidth="1"/>
    <col min="46" max="46" width="1.7109375" style="82" hidden="1" customWidth="1"/>
    <col min="47" max="47" width="11.7109375" style="114" customWidth="1"/>
    <col min="48" max="48" width="1.7109375" style="82" customWidth="1"/>
    <col min="49" max="49" width="15.7109375" style="82" customWidth="1"/>
    <col min="50" max="50" width="1.7109375" style="82" customWidth="1"/>
    <col min="51" max="51" width="11.7109375" style="82" customWidth="1"/>
    <col min="52" max="52" width="1.7109375" style="82" customWidth="1"/>
    <col min="53" max="53" width="11.7109375" style="82" customWidth="1"/>
    <col min="54" max="54" width="1.7109375" style="82" customWidth="1"/>
    <col min="55" max="55" width="11.7109375" style="82" customWidth="1"/>
    <col min="56" max="56" width="1.7109375" style="82" customWidth="1"/>
    <col min="57" max="57" width="11.7109375" style="82" customWidth="1"/>
    <col min="58" max="58" width="1.7109375" style="82" customWidth="1"/>
    <col min="59" max="59" width="11.7109375" style="114" customWidth="1"/>
    <col min="60" max="60" width="9.140625" style="82" bestFit="1" customWidth="1"/>
    <col min="61" max="16384" width="8.421875" style="82" customWidth="1"/>
  </cols>
  <sheetData>
    <row r="1" spans="1:60" s="110" customFormat="1" ht="12.75">
      <c r="A1" s="107" t="s">
        <v>197</v>
      </c>
      <c r="B1" s="11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5" t="s">
        <v>197</v>
      </c>
      <c r="X1" s="106"/>
      <c r="Y1" s="106"/>
      <c r="Z1" s="106"/>
      <c r="AA1" s="85"/>
      <c r="AB1" s="85"/>
      <c r="AC1" s="85"/>
      <c r="AD1" s="85"/>
      <c r="AE1" s="106"/>
      <c r="AF1" s="85"/>
      <c r="AG1" s="85"/>
      <c r="AH1" s="85"/>
      <c r="AI1" s="85"/>
      <c r="AJ1" s="85"/>
      <c r="AK1" s="85"/>
      <c r="AL1" s="85"/>
      <c r="AM1" s="109"/>
      <c r="AN1" s="109"/>
      <c r="AO1" s="106"/>
      <c r="AP1" s="109"/>
      <c r="AQ1" s="109"/>
      <c r="AR1" s="109"/>
      <c r="AS1" s="109"/>
      <c r="AT1" s="109"/>
      <c r="AU1" s="106"/>
      <c r="AV1" s="109"/>
      <c r="AW1" s="107" t="s">
        <v>197</v>
      </c>
      <c r="AX1" s="109"/>
      <c r="AY1" s="109"/>
      <c r="AZ1" s="109"/>
      <c r="BA1" s="109"/>
      <c r="BB1" s="109"/>
      <c r="BC1" s="109"/>
      <c r="BD1" s="109"/>
      <c r="BE1" s="109"/>
      <c r="BF1" s="109"/>
      <c r="BG1" s="106"/>
      <c r="BH1" s="109"/>
    </row>
    <row r="2" spans="1:60" s="110" customFormat="1" ht="12.75">
      <c r="A2" s="63" t="s">
        <v>137</v>
      </c>
      <c r="B2" s="11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63" t="s">
        <v>250</v>
      </c>
      <c r="X2" s="106"/>
      <c r="Y2" s="106"/>
      <c r="Z2" s="106"/>
      <c r="AA2" s="85"/>
      <c r="AB2" s="85"/>
      <c r="AC2" s="85"/>
      <c r="AD2" s="85"/>
      <c r="AE2" s="106"/>
      <c r="AF2" s="85"/>
      <c r="AG2" s="85"/>
      <c r="AH2" s="85"/>
      <c r="AI2" s="85"/>
      <c r="AJ2" s="85"/>
      <c r="AK2" s="85"/>
      <c r="AL2" s="85"/>
      <c r="AM2" s="109"/>
      <c r="AN2" s="109"/>
      <c r="AO2" s="106"/>
      <c r="AP2" s="109"/>
      <c r="AQ2" s="109"/>
      <c r="AR2" s="109"/>
      <c r="AS2" s="109"/>
      <c r="AT2" s="109"/>
      <c r="AU2" s="106"/>
      <c r="AV2" s="109"/>
      <c r="AW2" s="107" t="s">
        <v>102</v>
      </c>
      <c r="AX2" s="109"/>
      <c r="AY2" s="109"/>
      <c r="AZ2" s="109"/>
      <c r="BA2" s="109"/>
      <c r="BB2" s="109"/>
      <c r="BC2" s="109"/>
      <c r="BD2" s="109"/>
      <c r="BE2" s="109"/>
      <c r="BF2" s="109"/>
      <c r="BG2" s="106"/>
      <c r="BH2" s="109"/>
    </row>
    <row r="3" spans="1:60" ht="12.75">
      <c r="A3" s="63" t="s">
        <v>254</v>
      </c>
      <c r="B3" s="111"/>
      <c r="C3" s="111"/>
      <c r="D3" s="111"/>
      <c r="E3" s="111"/>
      <c r="F3" s="111"/>
      <c r="G3" s="111"/>
      <c r="H3" s="111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57" t="s">
        <v>254</v>
      </c>
      <c r="X3" s="99"/>
      <c r="Y3" s="99"/>
      <c r="Z3" s="99"/>
      <c r="AA3" s="85"/>
      <c r="AB3" s="85"/>
      <c r="AC3" s="85"/>
      <c r="AD3" s="85"/>
      <c r="AE3" s="99"/>
      <c r="AF3" s="85"/>
      <c r="AG3" s="85"/>
      <c r="AH3" s="85"/>
      <c r="AI3" s="85"/>
      <c r="AJ3" s="85"/>
      <c r="AK3" s="85"/>
      <c r="AL3" s="85"/>
      <c r="AM3" s="79"/>
      <c r="AN3" s="79"/>
      <c r="AO3" s="99"/>
      <c r="AP3" s="79"/>
      <c r="AQ3" s="79"/>
      <c r="AR3" s="79"/>
      <c r="AS3" s="79"/>
      <c r="AT3" s="79"/>
      <c r="AU3" s="99"/>
      <c r="AV3" s="79"/>
      <c r="AW3" s="63" t="s">
        <v>254</v>
      </c>
      <c r="AX3" s="79"/>
      <c r="AY3" s="79"/>
      <c r="AZ3" s="79"/>
      <c r="BA3" s="79"/>
      <c r="BB3" s="79"/>
      <c r="BC3" s="79"/>
      <c r="BD3" s="79"/>
      <c r="BE3" s="79"/>
      <c r="BF3" s="79"/>
      <c r="BG3" s="99"/>
      <c r="BH3" s="79"/>
    </row>
    <row r="4" spans="1:60" ht="12.75">
      <c r="A4" s="63"/>
      <c r="B4" s="111"/>
      <c r="C4" s="111"/>
      <c r="D4" s="111"/>
      <c r="E4" s="111"/>
      <c r="F4" s="111"/>
      <c r="G4" s="111"/>
      <c r="H4" s="111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2"/>
      <c r="X4" s="99"/>
      <c r="Y4" s="99"/>
      <c r="Z4" s="99"/>
      <c r="AA4" s="85"/>
      <c r="AB4" s="85"/>
      <c r="AC4" s="85"/>
      <c r="AD4" s="85"/>
      <c r="AE4" s="99"/>
      <c r="AF4" s="85"/>
      <c r="AG4" s="85"/>
      <c r="AH4" s="85"/>
      <c r="AI4" s="85"/>
      <c r="AJ4" s="85"/>
      <c r="AK4" s="85"/>
      <c r="AL4" s="85"/>
      <c r="AM4" s="79"/>
      <c r="AN4" s="79"/>
      <c r="AO4" s="99"/>
      <c r="AP4" s="79"/>
      <c r="AQ4" s="79"/>
      <c r="AR4" s="79"/>
      <c r="AS4" s="79"/>
      <c r="AT4" s="79"/>
      <c r="AU4" s="99"/>
      <c r="AV4" s="79"/>
      <c r="AW4" s="90"/>
      <c r="AX4" s="79"/>
      <c r="AY4" s="79"/>
      <c r="AZ4" s="79"/>
      <c r="BA4" s="79"/>
      <c r="BB4" s="79"/>
      <c r="BC4" s="79"/>
      <c r="BD4" s="79"/>
      <c r="BE4" s="79"/>
      <c r="BF4" s="79"/>
      <c r="BG4" s="99"/>
      <c r="BH4" s="79"/>
    </row>
    <row r="5" spans="1:60" ht="12.75">
      <c r="A5" s="57" t="s">
        <v>184</v>
      </c>
      <c r="B5" s="2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7" t="s">
        <v>184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 t="s">
        <v>184</v>
      </c>
      <c r="AX5" s="21"/>
      <c r="BF5" s="51"/>
      <c r="BG5" s="21"/>
      <c r="BH5" s="79"/>
    </row>
    <row r="6" spans="1:60" ht="12.75">
      <c r="A6" s="57"/>
      <c r="B6" s="2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138</v>
      </c>
      <c r="P6" s="50"/>
      <c r="Q6" s="50"/>
      <c r="R6" s="50"/>
      <c r="S6" s="50"/>
      <c r="T6" s="50"/>
      <c r="U6" s="50"/>
      <c r="V6" s="21"/>
      <c r="W6" s="57"/>
      <c r="X6" s="21"/>
      <c r="Y6" s="21"/>
      <c r="Z6" s="21"/>
      <c r="AA6" s="21"/>
      <c r="AB6" s="21"/>
      <c r="AC6" s="21"/>
      <c r="AD6" s="21"/>
      <c r="AE6" s="51"/>
      <c r="AF6" s="21"/>
      <c r="AG6" s="21"/>
      <c r="AH6" s="21"/>
      <c r="AI6" s="21"/>
      <c r="AJ6" s="21"/>
      <c r="AK6" s="21"/>
      <c r="AL6" s="21"/>
      <c r="AM6" s="21"/>
      <c r="AN6" s="21"/>
      <c r="AO6" s="51"/>
      <c r="AP6" s="21"/>
      <c r="AQ6" s="21"/>
      <c r="AR6" s="21"/>
      <c r="AS6" s="21"/>
      <c r="AT6" s="21"/>
      <c r="AU6" s="51"/>
      <c r="AV6" s="21"/>
      <c r="AW6" s="57"/>
      <c r="AX6" s="21"/>
      <c r="AY6" s="50" t="s">
        <v>102</v>
      </c>
      <c r="AZ6" s="50"/>
      <c r="BA6" s="50"/>
      <c r="BB6" s="50"/>
      <c r="BC6" s="50"/>
      <c r="BD6" s="50"/>
      <c r="BE6" s="50"/>
      <c r="BF6" s="50"/>
      <c r="BG6" s="50"/>
      <c r="BH6" s="79"/>
    </row>
    <row r="7" spans="1:60" ht="12.75">
      <c r="A7" s="113"/>
      <c r="B7" s="5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51"/>
      <c r="W7" s="113"/>
      <c r="X7" s="51"/>
      <c r="Y7" s="21"/>
      <c r="Z7" s="21"/>
      <c r="AA7" s="21"/>
      <c r="AB7" s="21"/>
      <c r="AC7" s="21"/>
      <c r="AD7" s="21"/>
      <c r="AE7" s="21"/>
      <c r="AF7" s="21"/>
      <c r="AG7" s="21" t="s">
        <v>158</v>
      </c>
      <c r="AH7" s="21"/>
      <c r="AI7" s="21"/>
      <c r="AJ7" s="21"/>
      <c r="AK7" s="21"/>
      <c r="AL7" s="21"/>
      <c r="AM7" s="21"/>
      <c r="AN7" s="21"/>
      <c r="AO7" s="21"/>
      <c r="AP7" s="21"/>
      <c r="AQ7" s="21" t="s">
        <v>155</v>
      </c>
      <c r="AR7" s="21"/>
      <c r="AS7" s="21" t="s">
        <v>155</v>
      </c>
      <c r="AT7" s="21"/>
      <c r="AU7" s="21"/>
      <c r="AV7" s="21"/>
      <c r="AW7" s="113"/>
      <c r="AX7" s="21"/>
      <c r="AY7" s="21" t="s">
        <v>103</v>
      </c>
      <c r="AZ7" s="21"/>
      <c r="BA7" s="21" t="s">
        <v>104</v>
      </c>
      <c r="BB7" s="21"/>
      <c r="BC7" s="21"/>
      <c r="BD7" s="21"/>
      <c r="BE7" s="21" t="s">
        <v>105</v>
      </c>
      <c r="BF7" s="21"/>
      <c r="BG7" s="21" t="s">
        <v>4</v>
      </c>
      <c r="BH7" s="79"/>
    </row>
    <row r="8" spans="1:60" ht="12.75">
      <c r="A8" s="113"/>
      <c r="B8" s="21"/>
      <c r="C8" s="21" t="s">
        <v>135</v>
      </c>
      <c r="D8" s="21"/>
      <c r="E8" s="21" t="s">
        <v>156</v>
      </c>
      <c r="F8" s="21"/>
      <c r="G8" s="21" t="s">
        <v>4</v>
      </c>
      <c r="H8" s="21"/>
      <c r="I8" s="21" t="s">
        <v>135</v>
      </c>
      <c r="J8" s="21"/>
      <c r="K8" s="21" t="s">
        <v>156</v>
      </c>
      <c r="L8" s="21"/>
      <c r="M8" s="21" t="s">
        <v>4</v>
      </c>
      <c r="N8" s="21"/>
      <c r="O8" s="21" t="s">
        <v>139</v>
      </c>
      <c r="P8" s="21"/>
      <c r="Q8" s="21"/>
      <c r="R8" s="21"/>
      <c r="S8" s="21"/>
      <c r="T8" s="21"/>
      <c r="U8" s="21" t="s">
        <v>232</v>
      </c>
      <c r="V8" s="21"/>
      <c r="W8" s="113"/>
      <c r="X8" s="21"/>
      <c r="Y8" s="21" t="s">
        <v>101</v>
      </c>
      <c r="Z8" s="21"/>
      <c r="AA8" s="21" t="s">
        <v>157</v>
      </c>
      <c r="AB8" s="21"/>
      <c r="AC8" s="21"/>
      <c r="AD8" s="21"/>
      <c r="AE8" s="21" t="s">
        <v>101</v>
      </c>
      <c r="AF8" s="21"/>
      <c r="AG8" s="21" t="s">
        <v>12</v>
      </c>
      <c r="AH8" s="21"/>
      <c r="AI8" s="21"/>
      <c r="AJ8" s="21"/>
      <c r="AK8" s="21"/>
      <c r="AL8" s="21"/>
      <c r="AM8" s="21" t="s">
        <v>87</v>
      </c>
      <c r="AN8" s="21"/>
      <c r="AO8" s="21" t="s">
        <v>231</v>
      </c>
      <c r="AP8" s="21"/>
      <c r="AQ8" s="21" t="s">
        <v>159</v>
      </c>
      <c r="AR8" s="21"/>
      <c r="AS8" s="21" t="s">
        <v>159</v>
      </c>
      <c r="AT8" s="21"/>
      <c r="AU8" s="21" t="s">
        <v>106</v>
      </c>
      <c r="AV8" s="21"/>
      <c r="AW8" s="113"/>
      <c r="AX8" s="21"/>
      <c r="AY8" s="21" t="s">
        <v>107</v>
      </c>
      <c r="AZ8" s="21"/>
      <c r="BA8" s="21" t="s">
        <v>12</v>
      </c>
      <c r="BB8" s="21"/>
      <c r="BC8" s="21"/>
      <c r="BD8" s="21"/>
      <c r="BE8" s="21" t="s">
        <v>108</v>
      </c>
      <c r="BF8" s="21"/>
      <c r="BG8" s="21" t="s">
        <v>108</v>
      </c>
      <c r="BH8" s="79"/>
    </row>
    <row r="9" spans="1:60" ht="12.75">
      <c r="A9" s="115" t="s">
        <v>5</v>
      </c>
      <c r="B9" s="82"/>
      <c r="C9" s="20" t="s">
        <v>116</v>
      </c>
      <c r="D9" s="82"/>
      <c r="E9" s="20" t="s">
        <v>116</v>
      </c>
      <c r="F9" s="82"/>
      <c r="G9" s="20" t="s">
        <v>116</v>
      </c>
      <c r="H9" s="82"/>
      <c r="I9" s="20" t="s">
        <v>122</v>
      </c>
      <c r="J9" s="82"/>
      <c r="K9" s="20" t="s">
        <v>122</v>
      </c>
      <c r="L9" s="82"/>
      <c r="M9" s="20" t="s">
        <v>122</v>
      </c>
      <c r="N9" s="82"/>
      <c r="O9" s="20" t="s">
        <v>141</v>
      </c>
      <c r="P9" s="82"/>
      <c r="Q9" s="20" t="s">
        <v>142</v>
      </c>
      <c r="R9" s="82"/>
      <c r="S9" s="20" t="s">
        <v>143</v>
      </c>
      <c r="T9" s="82"/>
      <c r="U9" s="20" t="s">
        <v>116</v>
      </c>
      <c r="V9" s="82"/>
      <c r="W9" s="115" t="s">
        <v>5</v>
      </c>
      <c r="X9" s="82"/>
      <c r="Y9" s="20" t="s">
        <v>12</v>
      </c>
      <c r="Z9" s="82"/>
      <c r="AA9" s="20" t="s">
        <v>109</v>
      </c>
      <c r="AB9" s="82"/>
      <c r="AC9" s="20" t="s">
        <v>109</v>
      </c>
      <c r="AD9" s="82"/>
      <c r="AE9" s="20" t="s">
        <v>110</v>
      </c>
      <c r="AF9" s="82"/>
      <c r="AG9" s="20" t="s">
        <v>230</v>
      </c>
      <c r="AH9" s="82"/>
      <c r="AI9" s="20" t="s">
        <v>111</v>
      </c>
      <c r="AJ9" s="82"/>
      <c r="AK9" s="20" t="s">
        <v>112</v>
      </c>
      <c r="AL9" s="82"/>
      <c r="AM9" s="20" t="s">
        <v>161</v>
      </c>
      <c r="AO9" s="20" t="s">
        <v>138</v>
      </c>
      <c r="AQ9" s="20" t="s">
        <v>162</v>
      </c>
      <c r="AS9" s="20" t="s">
        <v>163</v>
      </c>
      <c r="AU9" s="20" t="s">
        <v>87</v>
      </c>
      <c r="AW9" s="115" t="s">
        <v>5</v>
      </c>
      <c r="AY9" s="20" t="s">
        <v>113</v>
      </c>
      <c r="BA9" s="20" t="s">
        <v>113</v>
      </c>
      <c r="BC9" s="20" t="s">
        <v>114</v>
      </c>
      <c r="BE9" s="20" t="s">
        <v>115</v>
      </c>
      <c r="BG9" s="20" t="s">
        <v>122</v>
      </c>
      <c r="BH9" s="79"/>
    </row>
    <row r="10" spans="1:60" ht="12.75">
      <c r="A10" s="113"/>
      <c r="B10" s="82"/>
      <c r="C10" s="21"/>
      <c r="D10" s="82"/>
      <c r="E10" s="21"/>
      <c r="F10" s="82"/>
      <c r="G10" s="21"/>
      <c r="H10" s="82"/>
      <c r="I10" s="21"/>
      <c r="J10" s="82"/>
      <c r="K10" s="21"/>
      <c r="L10" s="82"/>
      <c r="M10" s="21"/>
      <c r="N10" s="82"/>
      <c r="O10" s="21"/>
      <c r="P10" s="82"/>
      <c r="Q10" s="21"/>
      <c r="R10" s="82"/>
      <c r="S10" s="21"/>
      <c r="T10" s="82"/>
      <c r="U10" s="21"/>
      <c r="V10" s="82"/>
      <c r="W10" s="113"/>
      <c r="X10" s="82"/>
      <c r="Y10" s="21"/>
      <c r="Z10" s="82"/>
      <c r="AA10" s="21"/>
      <c r="AB10" s="82"/>
      <c r="AC10" s="21"/>
      <c r="AD10" s="82"/>
      <c r="AE10" s="21"/>
      <c r="AF10" s="82"/>
      <c r="AG10" s="21"/>
      <c r="AH10" s="82"/>
      <c r="AI10" s="21"/>
      <c r="AJ10" s="82"/>
      <c r="AK10" s="21"/>
      <c r="AL10" s="82"/>
      <c r="AM10" s="21"/>
      <c r="AO10" s="21"/>
      <c r="AQ10" s="21"/>
      <c r="AS10" s="21"/>
      <c r="AU10" s="21"/>
      <c r="AW10" s="113"/>
      <c r="AY10" s="21"/>
      <c r="BA10" s="21"/>
      <c r="BC10" s="21"/>
      <c r="BE10" s="21"/>
      <c r="BG10" s="21"/>
      <c r="BH10" s="79"/>
    </row>
    <row r="11" spans="1:60" ht="12.75" hidden="1">
      <c r="A11" s="77" t="s">
        <v>13</v>
      </c>
      <c r="B11" s="96"/>
      <c r="C11" s="35">
        <f>G11-E11</f>
        <v>0</v>
      </c>
      <c r="D11" s="35"/>
      <c r="E11" s="35">
        <v>0</v>
      </c>
      <c r="F11" s="35"/>
      <c r="G11" s="35">
        <v>0</v>
      </c>
      <c r="H11" s="35"/>
      <c r="I11" s="35">
        <f>M11-K11</f>
        <v>0</v>
      </c>
      <c r="J11" s="35"/>
      <c r="K11" s="35">
        <f>SUM(BG11)</f>
        <v>0</v>
      </c>
      <c r="L11" s="35"/>
      <c r="M11" s="35">
        <v>0</v>
      </c>
      <c r="N11" s="35"/>
      <c r="O11" s="35">
        <v>0</v>
      </c>
      <c r="P11" s="35"/>
      <c r="Q11" s="35">
        <v>0</v>
      </c>
      <c r="R11" s="35"/>
      <c r="S11" s="35">
        <v>0</v>
      </c>
      <c r="T11" s="35"/>
      <c r="U11" s="35">
        <f>SUM(O11:S11)</f>
        <v>0</v>
      </c>
      <c r="V11" s="96"/>
      <c r="W11" s="77" t="s">
        <v>13</v>
      </c>
      <c r="X11" s="96"/>
      <c r="Y11" s="17">
        <v>0</v>
      </c>
      <c r="Z11" s="17"/>
      <c r="AA11" s="17">
        <v>0</v>
      </c>
      <c r="AB11" s="17"/>
      <c r="AC11" s="17">
        <v>0</v>
      </c>
      <c r="AD11" s="17"/>
      <c r="AE11" s="35">
        <f>+Y11-AA11-AC11</f>
        <v>0</v>
      </c>
      <c r="AF11" s="40"/>
      <c r="AG11" s="40">
        <v>0</v>
      </c>
      <c r="AH11" s="40"/>
      <c r="AI11" s="17">
        <v>0</v>
      </c>
      <c r="AJ11" s="17"/>
      <c r="AK11" s="17">
        <v>0</v>
      </c>
      <c r="AL11" s="17"/>
      <c r="AM11" s="17">
        <v>0</v>
      </c>
      <c r="AN11" s="17"/>
      <c r="AO11" s="35">
        <f>+AE11+AG11+AI11-AK11+AM11</f>
        <v>0</v>
      </c>
      <c r="AP11" s="40"/>
      <c r="AQ11" s="17">
        <v>0</v>
      </c>
      <c r="AR11" s="17"/>
      <c r="AS11" s="17">
        <v>0</v>
      </c>
      <c r="AT11" s="17"/>
      <c r="AU11" s="35">
        <f>+C11-I11</f>
        <v>0</v>
      </c>
      <c r="AV11" s="96"/>
      <c r="AW11" s="77" t="s">
        <v>13</v>
      </c>
      <c r="AX11" s="96"/>
      <c r="AY11" s="17">
        <v>0</v>
      </c>
      <c r="AZ11" s="17"/>
      <c r="BA11" s="17">
        <v>0</v>
      </c>
      <c r="BB11" s="17"/>
      <c r="BC11" s="17">
        <v>0</v>
      </c>
      <c r="BD11" s="17"/>
      <c r="BE11" s="17">
        <v>0</v>
      </c>
      <c r="BF11" s="17"/>
      <c r="BG11" s="35">
        <f>SUM(AY11:BE11)</f>
        <v>0</v>
      </c>
      <c r="BH11" s="79"/>
    </row>
    <row r="12" spans="1:60" ht="12.75" hidden="1">
      <c r="A12" s="77"/>
      <c r="B12" s="96"/>
      <c r="C12" s="35">
        <f>G12-E12</f>
        <v>0</v>
      </c>
      <c r="D12" s="35"/>
      <c r="E12" s="35">
        <v>0</v>
      </c>
      <c r="F12" s="35"/>
      <c r="G12" s="35">
        <v>0</v>
      </c>
      <c r="H12" s="35"/>
      <c r="I12" s="35">
        <f aca="true" t="shared" si="0" ref="I12:I76">M12-K12</f>
        <v>0</v>
      </c>
      <c r="J12" s="35"/>
      <c r="K12" s="35">
        <f>SUM(BG12)</f>
        <v>0</v>
      </c>
      <c r="L12" s="35"/>
      <c r="M12" s="35">
        <v>0</v>
      </c>
      <c r="N12" s="35"/>
      <c r="O12" s="35">
        <v>0</v>
      </c>
      <c r="P12" s="35"/>
      <c r="Q12" s="35">
        <v>0</v>
      </c>
      <c r="R12" s="35"/>
      <c r="S12" s="35">
        <v>0</v>
      </c>
      <c r="T12" s="35"/>
      <c r="U12" s="35">
        <f aca="true" t="shared" si="1" ref="U12:U76">SUM(O12:S12)</f>
        <v>0</v>
      </c>
      <c r="V12" s="96"/>
      <c r="W12" s="77"/>
      <c r="X12" s="96"/>
      <c r="Y12" s="17">
        <v>0</v>
      </c>
      <c r="Z12" s="17"/>
      <c r="AA12" s="17">
        <v>0</v>
      </c>
      <c r="AB12" s="17"/>
      <c r="AC12" s="17">
        <v>0</v>
      </c>
      <c r="AD12" s="17"/>
      <c r="AE12" s="35">
        <f aca="true" t="shared" si="2" ref="AE12:AE76">+Y12-AA12-AC12</f>
        <v>0</v>
      </c>
      <c r="AF12" s="40"/>
      <c r="AG12" s="40">
        <v>0</v>
      </c>
      <c r="AH12" s="40"/>
      <c r="AI12" s="17">
        <v>0</v>
      </c>
      <c r="AJ12" s="17"/>
      <c r="AK12" s="17">
        <v>0</v>
      </c>
      <c r="AL12" s="17"/>
      <c r="AM12" s="17">
        <v>0</v>
      </c>
      <c r="AN12" s="17"/>
      <c r="AO12" s="35">
        <f aca="true" t="shared" si="3" ref="AO12:AO76">+AE12+AG12+AI12-AK12+AM12</f>
        <v>0</v>
      </c>
      <c r="AP12" s="40"/>
      <c r="AQ12" s="17">
        <v>0</v>
      </c>
      <c r="AR12" s="17"/>
      <c r="AS12" s="17">
        <v>0</v>
      </c>
      <c r="AT12" s="17"/>
      <c r="AU12" s="35">
        <f aca="true" t="shared" si="4" ref="AU12:AU76">+C12-I12</f>
        <v>0</v>
      </c>
      <c r="AV12" s="96"/>
      <c r="AW12" s="77"/>
      <c r="AX12" s="96"/>
      <c r="AY12" s="17">
        <v>0</v>
      </c>
      <c r="AZ12" s="17"/>
      <c r="BA12" s="17">
        <v>0</v>
      </c>
      <c r="BB12" s="17"/>
      <c r="BC12" s="17">
        <v>0</v>
      </c>
      <c r="BD12" s="17"/>
      <c r="BE12" s="17">
        <v>0</v>
      </c>
      <c r="BF12" s="17"/>
      <c r="BG12" s="35">
        <f>SUM(AY12:BE12)</f>
        <v>0</v>
      </c>
      <c r="BH12" s="79"/>
    </row>
    <row r="13" spans="1:60" s="120" customFormat="1" ht="12.75" hidden="1">
      <c r="A13" s="80" t="s">
        <v>13</v>
      </c>
      <c r="B13" s="118"/>
      <c r="C13" s="74">
        <f aca="true" t="shared" si="5" ref="C13:C28">G13-E13</f>
        <v>0</v>
      </c>
      <c r="D13" s="74"/>
      <c r="E13" s="74">
        <v>0</v>
      </c>
      <c r="F13" s="74"/>
      <c r="G13" s="74">
        <v>0</v>
      </c>
      <c r="H13" s="74"/>
      <c r="I13" s="74">
        <f aca="true" t="shared" si="6" ref="I13:I28">M13-K13</f>
        <v>0</v>
      </c>
      <c r="J13" s="74"/>
      <c r="K13" s="74">
        <f>SUM(BG13)</f>
        <v>0</v>
      </c>
      <c r="L13" s="74"/>
      <c r="M13" s="74">
        <v>0</v>
      </c>
      <c r="N13" s="74"/>
      <c r="O13" s="74">
        <v>0</v>
      </c>
      <c r="P13" s="74"/>
      <c r="Q13" s="74">
        <v>0</v>
      </c>
      <c r="R13" s="74"/>
      <c r="S13" s="74">
        <v>0</v>
      </c>
      <c r="T13" s="74"/>
      <c r="U13" s="74">
        <f aca="true" t="shared" si="7" ref="U13:U28">SUM(O13:S13)</f>
        <v>0</v>
      </c>
      <c r="V13" s="118"/>
      <c r="W13" s="80" t="s">
        <v>13</v>
      </c>
      <c r="X13" s="118"/>
      <c r="Y13" s="74">
        <v>0</v>
      </c>
      <c r="Z13" s="48"/>
      <c r="AA13" s="74">
        <v>0</v>
      </c>
      <c r="AB13" s="48"/>
      <c r="AC13" s="74">
        <v>0</v>
      </c>
      <c r="AD13" s="48"/>
      <c r="AE13" s="74">
        <f aca="true" t="shared" si="8" ref="AE13:AE28">+Y13-AA13-AC13</f>
        <v>0</v>
      </c>
      <c r="AF13" s="61"/>
      <c r="AG13" s="74">
        <v>0</v>
      </c>
      <c r="AH13" s="61"/>
      <c r="AI13" s="74">
        <v>0</v>
      </c>
      <c r="AJ13" s="48"/>
      <c r="AK13" s="74">
        <v>0</v>
      </c>
      <c r="AL13" s="48"/>
      <c r="AM13" s="74">
        <v>0</v>
      </c>
      <c r="AN13" s="48"/>
      <c r="AO13" s="74">
        <f aca="true" t="shared" si="9" ref="AO13:AO28">+AE13+AG13+AI13-AK13+AM13</f>
        <v>0</v>
      </c>
      <c r="AP13" s="61"/>
      <c r="AQ13" s="48"/>
      <c r="AR13" s="48"/>
      <c r="AS13" s="48"/>
      <c r="AT13" s="48"/>
      <c r="AU13" s="74">
        <f aca="true" t="shared" si="10" ref="AU13:AU28">+C13-I13</f>
        <v>0</v>
      </c>
      <c r="AV13" s="118"/>
      <c r="AW13" s="80" t="s">
        <v>13</v>
      </c>
      <c r="AX13" s="118"/>
      <c r="AY13" s="74">
        <v>0</v>
      </c>
      <c r="AZ13" s="48"/>
      <c r="BA13" s="74">
        <v>0</v>
      </c>
      <c r="BB13" s="48"/>
      <c r="BC13" s="74">
        <v>0</v>
      </c>
      <c r="BD13" s="48"/>
      <c r="BE13" s="74">
        <v>0</v>
      </c>
      <c r="BF13" s="48"/>
      <c r="BG13" s="74">
        <f>SUM(AY13:BE13)</f>
        <v>0</v>
      </c>
      <c r="BH13" s="119"/>
    </row>
    <row r="14" spans="1:60" s="120" customFormat="1" ht="12.75">
      <c r="A14" s="80" t="s">
        <v>14</v>
      </c>
      <c r="B14" s="118"/>
      <c r="C14" s="74">
        <f t="shared" si="5"/>
        <v>688858</v>
      </c>
      <c r="D14" s="74"/>
      <c r="E14" s="74">
        <v>373661</v>
      </c>
      <c r="F14" s="74"/>
      <c r="G14" s="74">
        <v>1062519</v>
      </c>
      <c r="H14" s="74"/>
      <c r="I14" s="74">
        <f t="shared" si="6"/>
        <v>119131</v>
      </c>
      <c r="J14" s="74"/>
      <c r="K14" s="74">
        <v>1609762</v>
      </c>
      <c r="L14" s="74"/>
      <c r="M14" s="74">
        <v>1728893</v>
      </c>
      <c r="N14" s="74"/>
      <c r="O14" s="74">
        <v>373661</v>
      </c>
      <c r="P14" s="74"/>
      <c r="Q14" s="74">
        <v>0</v>
      </c>
      <c r="R14" s="74"/>
      <c r="S14" s="74">
        <v>-1040035</v>
      </c>
      <c r="T14" s="74"/>
      <c r="U14" s="74">
        <f t="shared" si="7"/>
        <v>-666374</v>
      </c>
      <c r="V14" s="74"/>
      <c r="W14" s="80" t="s">
        <v>14</v>
      </c>
      <c r="X14" s="74"/>
      <c r="Y14" s="74">
        <v>868939</v>
      </c>
      <c r="Z14" s="48"/>
      <c r="AA14" s="74">
        <f>925754-26787</f>
        <v>898967</v>
      </c>
      <c r="AB14" s="48"/>
      <c r="AC14" s="74">
        <v>26787</v>
      </c>
      <c r="AD14" s="48"/>
      <c r="AE14" s="74">
        <f t="shared" si="8"/>
        <v>-56815</v>
      </c>
      <c r="AF14" s="61"/>
      <c r="AG14" s="74">
        <v>6400</v>
      </c>
      <c r="AH14" s="61"/>
      <c r="AI14" s="74">
        <v>8</v>
      </c>
      <c r="AJ14" s="48"/>
      <c r="AK14" s="74">
        <v>0</v>
      </c>
      <c r="AL14" s="48"/>
      <c r="AM14" s="74">
        <v>7871</v>
      </c>
      <c r="AN14" s="48"/>
      <c r="AO14" s="74">
        <f t="shared" si="9"/>
        <v>-42536</v>
      </c>
      <c r="AP14" s="61"/>
      <c r="AQ14" s="48">
        <v>0</v>
      </c>
      <c r="AR14" s="48"/>
      <c r="AS14" s="48">
        <v>0</v>
      </c>
      <c r="AT14" s="48"/>
      <c r="AU14" s="74">
        <f t="shared" si="10"/>
        <v>569727</v>
      </c>
      <c r="AV14" s="48"/>
      <c r="AW14" s="80" t="s">
        <v>14</v>
      </c>
      <c r="AX14" s="48"/>
      <c r="AY14" s="74">
        <v>0</v>
      </c>
      <c r="AZ14" s="48"/>
      <c r="BA14" s="74">
        <v>0</v>
      </c>
      <c r="BB14" s="48"/>
      <c r="BC14" s="74">
        <v>0</v>
      </c>
      <c r="BD14" s="48"/>
      <c r="BE14" s="74">
        <f>9544+1669796</f>
        <v>1679340</v>
      </c>
      <c r="BF14" s="48"/>
      <c r="BG14" s="74">
        <f>SUM(AY14:BE14)</f>
        <v>1679340</v>
      </c>
      <c r="BH14" s="119"/>
    </row>
    <row r="15" spans="1:60" ht="12.75" hidden="1">
      <c r="A15" s="77" t="s">
        <v>15</v>
      </c>
      <c r="B15" s="96"/>
      <c r="C15" s="35">
        <f t="shared" si="5"/>
        <v>0</v>
      </c>
      <c r="D15" s="35"/>
      <c r="E15" s="35">
        <v>0</v>
      </c>
      <c r="F15" s="35"/>
      <c r="G15" s="35">
        <v>0</v>
      </c>
      <c r="H15" s="35"/>
      <c r="I15" s="35">
        <f t="shared" si="6"/>
        <v>0</v>
      </c>
      <c r="J15" s="35"/>
      <c r="K15" s="35">
        <v>0</v>
      </c>
      <c r="L15" s="35"/>
      <c r="M15" s="35">
        <v>0</v>
      </c>
      <c r="N15" s="35"/>
      <c r="O15" s="35">
        <v>0</v>
      </c>
      <c r="P15" s="35"/>
      <c r="Q15" s="35">
        <v>0</v>
      </c>
      <c r="R15" s="35"/>
      <c r="S15" s="35">
        <v>0</v>
      </c>
      <c r="T15" s="35"/>
      <c r="U15" s="35">
        <f t="shared" si="7"/>
        <v>0</v>
      </c>
      <c r="V15" s="96"/>
      <c r="W15" s="81" t="s">
        <v>15</v>
      </c>
      <c r="X15" s="96"/>
      <c r="Y15" s="35">
        <v>0</v>
      </c>
      <c r="Z15" s="17"/>
      <c r="AA15" s="35">
        <v>0</v>
      </c>
      <c r="AB15" s="17"/>
      <c r="AC15" s="35">
        <v>0</v>
      </c>
      <c r="AD15" s="17"/>
      <c r="AE15" s="35">
        <f t="shared" si="8"/>
        <v>0</v>
      </c>
      <c r="AF15" s="40"/>
      <c r="AG15" s="35">
        <v>0</v>
      </c>
      <c r="AH15" s="40"/>
      <c r="AI15" s="35">
        <v>0</v>
      </c>
      <c r="AJ15" s="17"/>
      <c r="AK15" s="35">
        <v>0</v>
      </c>
      <c r="AL15" s="17"/>
      <c r="AM15" s="35">
        <v>0</v>
      </c>
      <c r="AN15" s="17"/>
      <c r="AO15" s="35">
        <f t="shared" si="9"/>
        <v>0</v>
      </c>
      <c r="AP15" s="40"/>
      <c r="AQ15" s="17">
        <v>0</v>
      </c>
      <c r="AR15" s="17"/>
      <c r="AS15" s="17">
        <v>0</v>
      </c>
      <c r="AT15" s="17"/>
      <c r="AU15" s="35">
        <f t="shared" si="10"/>
        <v>0</v>
      </c>
      <c r="AV15" s="96"/>
      <c r="AW15" s="81" t="s">
        <v>15</v>
      </c>
      <c r="AX15" s="96"/>
      <c r="AY15" s="35">
        <v>0</v>
      </c>
      <c r="AZ15" s="17"/>
      <c r="BA15" s="35">
        <v>0</v>
      </c>
      <c r="BB15" s="17"/>
      <c r="BC15" s="35">
        <v>0</v>
      </c>
      <c r="BD15" s="17"/>
      <c r="BE15" s="35">
        <v>0</v>
      </c>
      <c r="BF15" s="17"/>
      <c r="BG15" s="35">
        <f aca="true" t="shared" si="11" ref="BG15:BG28">SUM(AY15:BE15)</f>
        <v>0</v>
      </c>
      <c r="BH15" s="79"/>
    </row>
    <row r="16" spans="1:60" ht="12.75" hidden="1">
      <c r="A16" s="77" t="s">
        <v>16</v>
      </c>
      <c r="B16" s="96"/>
      <c r="C16" s="35">
        <f t="shared" si="5"/>
        <v>0</v>
      </c>
      <c r="D16" s="35"/>
      <c r="E16" s="35">
        <v>0</v>
      </c>
      <c r="F16" s="35"/>
      <c r="G16" s="35">
        <v>0</v>
      </c>
      <c r="H16" s="35"/>
      <c r="I16" s="35">
        <f t="shared" si="6"/>
        <v>0</v>
      </c>
      <c r="J16" s="35"/>
      <c r="K16" s="35">
        <v>0</v>
      </c>
      <c r="L16" s="35"/>
      <c r="M16" s="35"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5">
        <f t="shared" si="7"/>
        <v>0</v>
      </c>
      <c r="V16" s="96"/>
      <c r="W16" s="81" t="s">
        <v>16</v>
      </c>
      <c r="X16" s="96"/>
      <c r="Y16" s="35">
        <v>0</v>
      </c>
      <c r="Z16" s="17"/>
      <c r="AA16" s="35">
        <v>0</v>
      </c>
      <c r="AB16" s="17"/>
      <c r="AC16" s="35">
        <v>0</v>
      </c>
      <c r="AD16" s="17"/>
      <c r="AE16" s="35">
        <f t="shared" si="8"/>
        <v>0</v>
      </c>
      <c r="AF16" s="40"/>
      <c r="AG16" s="35">
        <v>0</v>
      </c>
      <c r="AH16" s="40"/>
      <c r="AI16" s="35">
        <v>0</v>
      </c>
      <c r="AJ16" s="17"/>
      <c r="AK16" s="35">
        <v>0</v>
      </c>
      <c r="AL16" s="17"/>
      <c r="AM16" s="35">
        <v>0</v>
      </c>
      <c r="AN16" s="17"/>
      <c r="AO16" s="35">
        <f t="shared" si="9"/>
        <v>0</v>
      </c>
      <c r="AP16" s="40"/>
      <c r="AQ16" s="17">
        <v>0</v>
      </c>
      <c r="AR16" s="17"/>
      <c r="AS16" s="17">
        <v>0</v>
      </c>
      <c r="AT16" s="17"/>
      <c r="AU16" s="35">
        <f t="shared" si="10"/>
        <v>0</v>
      </c>
      <c r="AV16" s="96"/>
      <c r="AW16" s="81" t="s">
        <v>16</v>
      </c>
      <c r="AX16" s="96"/>
      <c r="AY16" s="35">
        <v>0</v>
      </c>
      <c r="AZ16" s="17"/>
      <c r="BA16" s="35">
        <v>0</v>
      </c>
      <c r="BB16" s="17"/>
      <c r="BC16" s="35">
        <v>0</v>
      </c>
      <c r="BD16" s="17"/>
      <c r="BE16" s="35">
        <v>0</v>
      </c>
      <c r="BF16" s="17"/>
      <c r="BG16" s="35">
        <f t="shared" si="11"/>
        <v>0</v>
      </c>
      <c r="BH16" s="79"/>
    </row>
    <row r="17" spans="1:60" ht="12.75" hidden="1">
      <c r="A17" s="77" t="s">
        <v>17</v>
      </c>
      <c r="B17" s="96"/>
      <c r="C17" s="35">
        <f t="shared" si="5"/>
        <v>0</v>
      </c>
      <c r="D17" s="35"/>
      <c r="E17" s="35">
        <v>0</v>
      </c>
      <c r="F17" s="35"/>
      <c r="G17" s="35">
        <v>0</v>
      </c>
      <c r="H17" s="35"/>
      <c r="I17" s="35">
        <f t="shared" si="6"/>
        <v>0</v>
      </c>
      <c r="J17" s="35"/>
      <c r="K17" s="35">
        <v>0</v>
      </c>
      <c r="L17" s="35"/>
      <c r="M17" s="35">
        <v>0</v>
      </c>
      <c r="N17" s="35"/>
      <c r="O17" s="35">
        <v>0</v>
      </c>
      <c r="P17" s="35"/>
      <c r="Q17" s="35">
        <v>0</v>
      </c>
      <c r="R17" s="35"/>
      <c r="S17" s="35">
        <v>0</v>
      </c>
      <c r="T17" s="35"/>
      <c r="U17" s="35">
        <f t="shared" si="7"/>
        <v>0</v>
      </c>
      <c r="V17" s="96"/>
      <c r="W17" s="81" t="s">
        <v>17</v>
      </c>
      <c r="X17" s="96"/>
      <c r="Y17" s="35">
        <v>0</v>
      </c>
      <c r="Z17" s="17"/>
      <c r="AA17" s="35">
        <v>0</v>
      </c>
      <c r="AB17" s="17"/>
      <c r="AC17" s="35">
        <v>0</v>
      </c>
      <c r="AD17" s="17"/>
      <c r="AE17" s="35">
        <f t="shared" si="8"/>
        <v>0</v>
      </c>
      <c r="AF17" s="40"/>
      <c r="AG17" s="35">
        <v>0</v>
      </c>
      <c r="AH17" s="40"/>
      <c r="AI17" s="35">
        <v>0</v>
      </c>
      <c r="AJ17" s="17"/>
      <c r="AK17" s="35">
        <v>0</v>
      </c>
      <c r="AL17" s="17"/>
      <c r="AM17" s="35">
        <v>0</v>
      </c>
      <c r="AN17" s="17"/>
      <c r="AO17" s="35">
        <f t="shared" si="9"/>
        <v>0</v>
      </c>
      <c r="AP17" s="40"/>
      <c r="AQ17" s="17">
        <v>0</v>
      </c>
      <c r="AR17" s="17"/>
      <c r="AS17" s="17">
        <v>0</v>
      </c>
      <c r="AT17" s="17"/>
      <c r="AU17" s="35">
        <f t="shared" si="10"/>
        <v>0</v>
      </c>
      <c r="AV17" s="96"/>
      <c r="AW17" s="81" t="s">
        <v>17</v>
      </c>
      <c r="AX17" s="96"/>
      <c r="AY17" s="35">
        <v>0</v>
      </c>
      <c r="AZ17" s="17"/>
      <c r="BA17" s="35">
        <v>0</v>
      </c>
      <c r="BB17" s="17"/>
      <c r="BC17" s="35">
        <v>0</v>
      </c>
      <c r="BD17" s="17"/>
      <c r="BE17" s="35">
        <v>0</v>
      </c>
      <c r="BF17" s="17"/>
      <c r="BG17" s="35">
        <f t="shared" si="11"/>
        <v>0</v>
      </c>
      <c r="BH17" s="79"/>
    </row>
    <row r="18" spans="1:60" ht="12.75" hidden="1">
      <c r="A18" s="77" t="s">
        <v>18</v>
      </c>
      <c r="B18" s="96"/>
      <c r="C18" s="35">
        <f t="shared" si="5"/>
        <v>0</v>
      </c>
      <c r="D18" s="35"/>
      <c r="E18" s="35">
        <v>0</v>
      </c>
      <c r="F18" s="35"/>
      <c r="G18" s="35">
        <v>0</v>
      </c>
      <c r="H18" s="35"/>
      <c r="I18" s="35">
        <f t="shared" si="6"/>
        <v>0</v>
      </c>
      <c r="J18" s="35"/>
      <c r="K18" s="35">
        <v>0</v>
      </c>
      <c r="L18" s="35"/>
      <c r="M18" s="35"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5">
        <f t="shared" si="7"/>
        <v>0</v>
      </c>
      <c r="V18" s="96"/>
      <c r="W18" s="81" t="s">
        <v>18</v>
      </c>
      <c r="X18" s="96"/>
      <c r="Y18" s="35">
        <v>0</v>
      </c>
      <c r="Z18" s="17"/>
      <c r="AA18" s="35">
        <v>0</v>
      </c>
      <c r="AB18" s="17"/>
      <c r="AC18" s="35">
        <v>0</v>
      </c>
      <c r="AD18" s="17"/>
      <c r="AE18" s="35">
        <f t="shared" si="8"/>
        <v>0</v>
      </c>
      <c r="AF18" s="40"/>
      <c r="AG18" s="35">
        <v>0</v>
      </c>
      <c r="AH18" s="40"/>
      <c r="AI18" s="35">
        <v>0</v>
      </c>
      <c r="AJ18" s="17"/>
      <c r="AK18" s="35">
        <v>0</v>
      </c>
      <c r="AL18" s="17"/>
      <c r="AM18" s="35">
        <v>0</v>
      </c>
      <c r="AN18" s="17"/>
      <c r="AO18" s="35">
        <f t="shared" si="9"/>
        <v>0</v>
      </c>
      <c r="AP18" s="40"/>
      <c r="AQ18" s="17">
        <v>0</v>
      </c>
      <c r="AR18" s="17"/>
      <c r="AS18" s="17">
        <v>0</v>
      </c>
      <c r="AT18" s="17"/>
      <c r="AU18" s="35">
        <f t="shared" si="10"/>
        <v>0</v>
      </c>
      <c r="AV18" s="96"/>
      <c r="AW18" s="81" t="s">
        <v>18</v>
      </c>
      <c r="AX18" s="96"/>
      <c r="AY18" s="35">
        <v>0</v>
      </c>
      <c r="AZ18" s="17"/>
      <c r="BA18" s="35">
        <v>0</v>
      </c>
      <c r="BB18" s="17"/>
      <c r="BC18" s="35">
        <v>0</v>
      </c>
      <c r="BD18" s="17"/>
      <c r="BE18" s="35">
        <v>0</v>
      </c>
      <c r="BF18" s="17"/>
      <c r="BG18" s="35">
        <f t="shared" si="11"/>
        <v>0</v>
      </c>
      <c r="BH18" s="79"/>
    </row>
    <row r="19" spans="1:60" ht="12.75" hidden="1">
      <c r="A19" s="77" t="s">
        <v>240</v>
      </c>
      <c r="B19" s="96"/>
      <c r="C19" s="35">
        <f t="shared" si="5"/>
        <v>0</v>
      </c>
      <c r="D19" s="35"/>
      <c r="E19" s="35">
        <v>0</v>
      </c>
      <c r="F19" s="35"/>
      <c r="G19" s="35">
        <v>0</v>
      </c>
      <c r="H19" s="35"/>
      <c r="I19" s="35">
        <f t="shared" si="6"/>
        <v>0</v>
      </c>
      <c r="J19" s="35"/>
      <c r="K19" s="35"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  <c r="S19" s="35">
        <v>0</v>
      </c>
      <c r="T19" s="35"/>
      <c r="U19" s="35">
        <f t="shared" si="7"/>
        <v>0</v>
      </c>
      <c r="V19" s="35"/>
      <c r="W19" s="81" t="s">
        <v>96</v>
      </c>
      <c r="X19" s="35"/>
      <c r="Y19" s="35">
        <v>0</v>
      </c>
      <c r="Z19" s="17"/>
      <c r="AA19" s="35">
        <v>0</v>
      </c>
      <c r="AB19" s="17"/>
      <c r="AC19" s="35">
        <v>0</v>
      </c>
      <c r="AD19" s="17"/>
      <c r="AE19" s="35">
        <f t="shared" si="8"/>
        <v>0</v>
      </c>
      <c r="AF19" s="40"/>
      <c r="AG19" s="35">
        <v>0</v>
      </c>
      <c r="AH19" s="40"/>
      <c r="AI19" s="35">
        <v>0</v>
      </c>
      <c r="AJ19" s="17"/>
      <c r="AK19" s="35">
        <v>0</v>
      </c>
      <c r="AL19" s="17"/>
      <c r="AM19" s="35">
        <v>0</v>
      </c>
      <c r="AN19" s="17"/>
      <c r="AO19" s="35">
        <f t="shared" si="9"/>
        <v>0</v>
      </c>
      <c r="AP19" s="40"/>
      <c r="AQ19" s="17">
        <v>0</v>
      </c>
      <c r="AR19" s="17"/>
      <c r="AS19" s="17">
        <v>0</v>
      </c>
      <c r="AT19" s="17"/>
      <c r="AU19" s="35">
        <f t="shared" si="10"/>
        <v>0</v>
      </c>
      <c r="AV19" s="17"/>
      <c r="AW19" s="81" t="s">
        <v>96</v>
      </c>
      <c r="AX19" s="17"/>
      <c r="AY19" s="35">
        <v>0</v>
      </c>
      <c r="AZ19" s="17"/>
      <c r="BA19" s="35">
        <v>0</v>
      </c>
      <c r="BB19" s="17"/>
      <c r="BC19" s="35">
        <v>0</v>
      </c>
      <c r="BD19" s="17"/>
      <c r="BE19" s="35">
        <v>0</v>
      </c>
      <c r="BF19" s="17"/>
      <c r="BG19" s="35">
        <f t="shared" si="11"/>
        <v>0</v>
      </c>
      <c r="BH19" s="79"/>
    </row>
    <row r="20" spans="1:60" ht="12.75" hidden="1">
      <c r="A20" s="77" t="s">
        <v>238</v>
      </c>
      <c r="B20" s="96"/>
      <c r="C20" s="35">
        <f t="shared" si="5"/>
        <v>0</v>
      </c>
      <c r="D20" s="35"/>
      <c r="E20" s="35">
        <v>0</v>
      </c>
      <c r="F20" s="35"/>
      <c r="G20" s="35">
        <v>0</v>
      </c>
      <c r="H20" s="35"/>
      <c r="I20" s="35">
        <f t="shared" si="6"/>
        <v>0</v>
      </c>
      <c r="J20" s="35"/>
      <c r="K20" s="35">
        <v>0</v>
      </c>
      <c r="L20" s="35"/>
      <c r="M20" s="35"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5">
        <f t="shared" si="7"/>
        <v>0</v>
      </c>
      <c r="V20" s="35"/>
      <c r="W20" s="81" t="s">
        <v>238</v>
      </c>
      <c r="X20" s="35"/>
      <c r="Y20" s="35">
        <v>0</v>
      </c>
      <c r="Z20" s="17"/>
      <c r="AA20" s="35">
        <v>0</v>
      </c>
      <c r="AB20" s="17"/>
      <c r="AC20" s="35">
        <v>0</v>
      </c>
      <c r="AD20" s="17"/>
      <c r="AE20" s="35">
        <f t="shared" si="8"/>
        <v>0</v>
      </c>
      <c r="AF20" s="40"/>
      <c r="AG20" s="35">
        <v>0</v>
      </c>
      <c r="AH20" s="40"/>
      <c r="AI20" s="35">
        <v>0</v>
      </c>
      <c r="AJ20" s="17"/>
      <c r="AK20" s="35">
        <v>0</v>
      </c>
      <c r="AL20" s="17"/>
      <c r="AM20" s="35">
        <v>0</v>
      </c>
      <c r="AN20" s="17"/>
      <c r="AO20" s="35">
        <f t="shared" si="9"/>
        <v>0</v>
      </c>
      <c r="AP20" s="40"/>
      <c r="AQ20" s="17">
        <v>0</v>
      </c>
      <c r="AR20" s="17"/>
      <c r="AS20" s="17">
        <v>0</v>
      </c>
      <c r="AT20" s="17"/>
      <c r="AU20" s="35">
        <f t="shared" si="10"/>
        <v>0</v>
      </c>
      <c r="AV20" s="17"/>
      <c r="AW20" s="81" t="s">
        <v>238</v>
      </c>
      <c r="AX20" s="17"/>
      <c r="AY20" s="35">
        <v>0</v>
      </c>
      <c r="AZ20" s="17"/>
      <c r="BA20" s="35">
        <v>0</v>
      </c>
      <c r="BB20" s="17"/>
      <c r="BC20" s="35">
        <v>0</v>
      </c>
      <c r="BD20" s="17"/>
      <c r="BE20" s="35">
        <v>0</v>
      </c>
      <c r="BF20" s="17"/>
      <c r="BG20" s="35">
        <f t="shared" si="11"/>
        <v>0</v>
      </c>
      <c r="BH20" s="79"/>
    </row>
    <row r="21" spans="1:60" ht="12.75">
      <c r="A21" s="77" t="s">
        <v>20</v>
      </c>
      <c r="B21" s="96"/>
      <c r="C21" s="35">
        <f t="shared" si="5"/>
        <v>24046</v>
      </c>
      <c r="D21" s="35"/>
      <c r="E21" s="35">
        <v>0</v>
      </c>
      <c r="F21" s="35"/>
      <c r="G21" s="35">
        <v>24046</v>
      </c>
      <c r="H21" s="35"/>
      <c r="I21" s="35">
        <f t="shared" si="6"/>
        <v>1000</v>
      </c>
      <c r="J21" s="35"/>
      <c r="K21" s="35">
        <v>4430673</v>
      </c>
      <c r="L21" s="35"/>
      <c r="M21" s="35">
        <v>4431673</v>
      </c>
      <c r="N21" s="35"/>
      <c r="O21" s="35">
        <v>0</v>
      </c>
      <c r="P21" s="35"/>
      <c r="Q21" s="35">
        <v>0</v>
      </c>
      <c r="R21" s="35"/>
      <c r="S21" s="35">
        <v>-4407627</v>
      </c>
      <c r="T21" s="35"/>
      <c r="U21" s="35">
        <f t="shared" si="7"/>
        <v>-4407627</v>
      </c>
      <c r="V21" s="35"/>
      <c r="W21" s="81" t="s">
        <v>20</v>
      </c>
      <c r="X21" s="35"/>
      <c r="Y21" s="35">
        <v>0</v>
      </c>
      <c r="Z21" s="17"/>
      <c r="AA21" s="35">
        <v>96888</v>
      </c>
      <c r="AB21" s="17"/>
      <c r="AC21" s="35">
        <v>0</v>
      </c>
      <c r="AD21" s="17"/>
      <c r="AE21" s="35">
        <f t="shared" si="8"/>
        <v>-96888</v>
      </c>
      <c r="AF21" s="40"/>
      <c r="AG21" s="35">
        <v>0</v>
      </c>
      <c r="AH21" s="40"/>
      <c r="AI21" s="35">
        <v>38030</v>
      </c>
      <c r="AJ21" s="17"/>
      <c r="AK21" s="35">
        <v>0</v>
      </c>
      <c r="AL21" s="17"/>
      <c r="AM21" s="35">
        <v>0</v>
      </c>
      <c r="AN21" s="17"/>
      <c r="AO21" s="35">
        <f t="shared" si="9"/>
        <v>-58858</v>
      </c>
      <c r="AP21" s="40"/>
      <c r="AQ21" s="17">
        <v>0</v>
      </c>
      <c r="AR21" s="17"/>
      <c r="AS21" s="17">
        <v>0</v>
      </c>
      <c r="AT21" s="17"/>
      <c r="AU21" s="35">
        <f t="shared" si="10"/>
        <v>23046</v>
      </c>
      <c r="AV21" s="17"/>
      <c r="AW21" s="81" t="s">
        <v>20</v>
      </c>
      <c r="AX21" s="17"/>
      <c r="AY21" s="35">
        <v>0</v>
      </c>
      <c r="AZ21" s="17"/>
      <c r="BA21" s="35">
        <v>0</v>
      </c>
      <c r="BB21" s="17"/>
      <c r="BC21" s="35">
        <v>0</v>
      </c>
      <c r="BD21" s="17"/>
      <c r="BE21" s="35">
        <v>4430673</v>
      </c>
      <c r="BF21" s="17"/>
      <c r="BG21" s="35">
        <f t="shared" si="11"/>
        <v>4430673</v>
      </c>
      <c r="BH21" s="79"/>
    </row>
    <row r="22" spans="1:60" ht="12.75" hidden="1">
      <c r="A22" s="23" t="s">
        <v>173</v>
      </c>
      <c r="B22" s="96"/>
      <c r="C22" s="35">
        <f t="shared" si="5"/>
        <v>0</v>
      </c>
      <c r="D22" s="35"/>
      <c r="E22" s="35">
        <v>0</v>
      </c>
      <c r="F22" s="35"/>
      <c r="G22" s="35">
        <v>0</v>
      </c>
      <c r="H22" s="35"/>
      <c r="I22" s="35">
        <f t="shared" si="6"/>
        <v>0</v>
      </c>
      <c r="J22" s="35"/>
      <c r="K22" s="35">
        <v>0</v>
      </c>
      <c r="L22" s="35"/>
      <c r="M22" s="35">
        <v>0</v>
      </c>
      <c r="N22" s="35"/>
      <c r="O22" s="35">
        <v>0</v>
      </c>
      <c r="P22" s="35"/>
      <c r="Q22" s="35">
        <v>0</v>
      </c>
      <c r="R22" s="35"/>
      <c r="S22" s="35">
        <v>0</v>
      </c>
      <c r="T22" s="35"/>
      <c r="U22" s="35">
        <f t="shared" si="7"/>
        <v>0</v>
      </c>
      <c r="V22" s="96"/>
      <c r="W22" s="17" t="s">
        <v>173</v>
      </c>
      <c r="X22" s="96"/>
      <c r="Y22" s="35">
        <v>0</v>
      </c>
      <c r="Z22" s="17"/>
      <c r="AA22" s="35">
        <v>0</v>
      </c>
      <c r="AB22" s="17"/>
      <c r="AC22" s="35">
        <v>0</v>
      </c>
      <c r="AD22" s="17"/>
      <c r="AE22" s="35">
        <f t="shared" si="8"/>
        <v>0</v>
      </c>
      <c r="AF22" s="40"/>
      <c r="AG22" s="35">
        <v>0</v>
      </c>
      <c r="AH22" s="40"/>
      <c r="AI22" s="35">
        <v>0</v>
      </c>
      <c r="AJ22" s="17"/>
      <c r="AK22" s="35">
        <v>0</v>
      </c>
      <c r="AL22" s="17"/>
      <c r="AM22" s="35">
        <v>0</v>
      </c>
      <c r="AN22" s="17"/>
      <c r="AO22" s="35">
        <f t="shared" si="9"/>
        <v>0</v>
      </c>
      <c r="AP22" s="40"/>
      <c r="AQ22" s="17">
        <v>0</v>
      </c>
      <c r="AR22" s="17"/>
      <c r="AS22" s="17">
        <v>0</v>
      </c>
      <c r="AT22" s="17"/>
      <c r="AU22" s="35">
        <f t="shared" si="10"/>
        <v>0</v>
      </c>
      <c r="AV22" s="96"/>
      <c r="AW22" s="17" t="s">
        <v>173</v>
      </c>
      <c r="AX22" s="96"/>
      <c r="AY22" s="35">
        <v>0</v>
      </c>
      <c r="AZ22" s="17"/>
      <c r="BA22" s="35">
        <v>0</v>
      </c>
      <c r="BB22" s="17"/>
      <c r="BC22" s="35">
        <v>0</v>
      </c>
      <c r="BD22" s="17"/>
      <c r="BE22" s="35">
        <v>0</v>
      </c>
      <c r="BF22" s="17"/>
      <c r="BG22" s="35">
        <f t="shared" si="11"/>
        <v>0</v>
      </c>
      <c r="BH22" s="79"/>
    </row>
    <row r="23" spans="1:60" ht="12.75" hidden="1">
      <c r="A23" s="77" t="s">
        <v>21</v>
      </c>
      <c r="B23" s="96"/>
      <c r="C23" s="35">
        <f t="shared" si="5"/>
        <v>0</v>
      </c>
      <c r="D23" s="35"/>
      <c r="E23" s="35">
        <v>0</v>
      </c>
      <c r="F23" s="35"/>
      <c r="G23" s="35">
        <v>0</v>
      </c>
      <c r="H23" s="35"/>
      <c r="I23" s="35">
        <f t="shared" si="6"/>
        <v>0</v>
      </c>
      <c r="J23" s="35"/>
      <c r="K23" s="35">
        <v>0</v>
      </c>
      <c r="L23" s="35"/>
      <c r="M23" s="35">
        <v>0</v>
      </c>
      <c r="N23" s="35"/>
      <c r="O23" s="35">
        <v>0</v>
      </c>
      <c r="P23" s="35"/>
      <c r="Q23" s="35">
        <v>0</v>
      </c>
      <c r="R23" s="35"/>
      <c r="S23" s="35">
        <v>0</v>
      </c>
      <c r="T23" s="35"/>
      <c r="U23" s="35">
        <f t="shared" si="7"/>
        <v>0</v>
      </c>
      <c r="V23" s="96"/>
      <c r="W23" s="81" t="s">
        <v>21</v>
      </c>
      <c r="X23" s="96"/>
      <c r="Y23" s="35">
        <v>0</v>
      </c>
      <c r="Z23" s="17"/>
      <c r="AA23" s="35">
        <v>0</v>
      </c>
      <c r="AB23" s="17"/>
      <c r="AC23" s="35">
        <v>0</v>
      </c>
      <c r="AD23" s="17"/>
      <c r="AE23" s="35">
        <f t="shared" si="8"/>
        <v>0</v>
      </c>
      <c r="AF23" s="40"/>
      <c r="AG23" s="35">
        <v>0</v>
      </c>
      <c r="AH23" s="40"/>
      <c r="AI23" s="35">
        <v>0</v>
      </c>
      <c r="AJ23" s="17"/>
      <c r="AK23" s="35">
        <v>0</v>
      </c>
      <c r="AL23" s="17"/>
      <c r="AM23" s="35">
        <v>0</v>
      </c>
      <c r="AN23" s="17"/>
      <c r="AO23" s="35">
        <f t="shared" si="9"/>
        <v>0</v>
      </c>
      <c r="AP23" s="40"/>
      <c r="AQ23" s="17">
        <v>0</v>
      </c>
      <c r="AR23" s="17"/>
      <c r="AS23" s="17">
        <v>0</v>
      </c>
      <c r="AT23" s="17"/>
      <c r="AU23" s="35">
        <f t="shared" si="10"/>
        <v>0</v>
      </c>
      <c r="AV23" s="96"/>
      <c r="AW23" s="81" t="s">
        <v>21</v>
      </c>
      <c r="AX23" s="96"/>
      <c r="AY23" s="35">
        <v>0</v>
      </c>
      <c r="AZ23" s="17"/>
      <c r="BA23" s="35">
        <v>0</v>
      </c>
      <c r="BB23" s="17"/>
      <c r="BC23" s="35">
        <v>0</v>
      </c>
      <c r="BD23" s="17"/>
      <c r="BE23" s="35">
        <v>0</v>
      </c>
      <c r="BF23" s="17"/>
      <c r="BG23" s="35">
        <f t="shared" si="11"/>
        <v>0</v>
      </c>
      <c r="BH23" s="79"/>
    </row>
    <row r="24" spans="1:60" ht="12.75" hidden="1">
      <c r="A24" s="77" t="s">
        <v>242</v>
      </c>
      <c r="B24" s="96"/>
      <c r="C24" s="35">
        <f t="shared" si="5"/>
        <v>0</v>
      </c>
      <c r="D24" s="35"/>
      <c r="E24" s="35">
        <v>0</v>
      </c>
      <c r="F24" s="35"/>
      <c r="G24" s="35">
        <v>0</v>
      </c>
      <c r="H24" s="35"/>
      <c r="I24" s="35">
        <f t="shared" si="6"/>
        <v>0</v>
      </c>
      <c r="J24" s="35"/>
      <c r="K24" s="35">
        <v>0</v>
      </c>
      <c r="L24" s="35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5">
        <f t="shared" si="7"/>
        <v>0</v>
      </c>
      <c r="V24" s="96"/>
      <c r="W24" s="81" t="s">
        <v>242</v>
      </c>
      <c r="X24" s="96"/>
      <c r="Y24" s="35">
        <v>0</v>
      </c>
      <c r="Z24" s="17"/>
      <c r="AA24" s="35">
        <v>0</v>
      </c>
      <c r="AB24" s="17"/>
      <c r="AC24" s="35">
        <v>0</v>
      </c>
      <c r="AD24" s="17"/>
      <c r="AE24" s="35">
        <f t="shared" si="8"/>
        <v>0</v>
      </c>
      <c r="AF24" s="40"/>
      <c r="AG24" s="35">
        <v>0</v>
      </c>
      <c r="AH24" s="40"/>
      <c r="AI24" s="35">
        <v>0</v>
      </c>
      <c r="AJ24" s="17"/>
      <c r="AK24" s="35">
        <v>0</v>
      </c>
      <c r="AL24" s="17"/>
      <c r="AM24" s="35">
        <v>0</v>
      </c>
      <c r="AN24" s="17"/>
      <c r="AO24" s="35">
        <f t="shared" si="9"/>
        <v>0</v>
      </c>
      <c r="AP24" s="40"/>
      <c r="AQ24" s="17">
        <v>0</v>
      </c>
      <c r="AR24" s="17"/>
      <c r="AS24" s="17">
        <v>0</v>
      </c>
      <c r="AT24" s="17"/>
      <c r="AU24" s="35">
        <f t="shared" si="10"/>
        <v>0</v>
      </c>
      <c r="AV24" s="96"/>
      <c r="AW24" s="81" t="s">
        <v>242</v>
      </c>
      <c r="AX24" s="96"/>
      <c r="AY24" s="35">
        <v>0</v>
      </c>
      <c r="AZ24" s="17"/>
      <c r="BA24" s="35">
        <v>0</v>
      </c>
      <c r="BB24" s="17"/>
      <c r="BC24" s="35">
        <v>0</v>
      </c>
      <c r="BD24" s="17"/>
      <c r="BE24" s="35">
        <v>0</v>
      </c>
      <c r="BF24" s="17"/>
      <c r="BG24" s="35">
        <f t="shared" si="11"/>
        <v>0</v>
      </c>
      <c r="BH24" s="79"/>
    </row>
    <row r="25" spans="1:60" ht="12.75" hidden="1">
      <c r="A25" s="77" t="s">
        <v>22</v>
      </c>
      <c r="B25" s="96"/>
      <c r="C25" s="35">
        <f t="shared" si="5"/>
        <v>0</v>
      </c>
      <c r="D25" s="35"/>
      <c r="E25" s="35">
        <v>0</v>
      </c>
      <c r="F25" s="35"/>
      <c r="G25" s="35">
        <v>0</v>
      </c>
      <c r="H25" s="35"/>
      <c r="I25" s="35">
        <f t="shared" si="6"/>
        <v>0</v>
      </c>
      <c r="J25" s="35"/>
      <c r="K25" s="35">
        <v>0</v>
      </c>
      <c r="L25" s="35"/>
      <c r="M25" s="35"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5">
        <f t="shared" si="7"/>
        <v>0</v>
      </c>
      <c r="V25" s="35"/>
      <c r="W25" s="81" t="s">
        <v>22</v>
      </c>
      <c r="X25" s="35"/>
      <c r="Y25" s="35">
        <v>0</v>
      </c>
      <c r="Z25" s="17"/>
      <c r="AA25" s="35">
        <v>0</v>
      </c>
      <c r="AB25" s="17"/>
      <c r="AC25" s="35">
        <v>0</v>
      </c>
      <c r="AD25" s="17"/>
      <c r="AE25" s="35">
        <f t="shared" si="8"/>
        <v>0</v>
      </c>
      <c r="AF25" s="40"/>
      <c r="AG25" s="35">
        <v>0</v>
      </c>
      <c r="AH25" s="40"/>
      <c r="AI25" s="35">
        <v>0</v>
      </c>
      <c r="AJ25" s="17"/>
      <c r="AK25" s="35">
        <v>0</v>
      </c>
      <c r="AL25" s="17"/>
      <c r="AM25" s="35">
        <v>0</v>
      </c>
      <c r="AN25" s="17"/>
      <c r="AO25" s="35">
        <f t="shared" si="9"/>
        <v>0</v>
      </c>
      <c r="AP25" s="40"/>
      <c r="AQ25" s="17">
        <v>0</v>
      </c>
      <c r="AR25" s="17"/>
      <c r="AS25" s="17">
        <v>0</v>
      </c>
      <c r="AT25" s="17"/>
      <c r="AU25" s="35">
        <f t="shared" si="10"/>
        <v>0</v>
      </c>
      <c r="AV25" s="17"/>
      <c r="AW25" s="81" t="s">
        <v>22</v>
      </c>
      <c r="AX25" s="17"/>
      <c r="AY25" s="35">
        <v>0</v>
      </c>
      <c r="AZ25" s="17"/>
      <c r="BA25" s="35">
        <v>0</v>
      </c>
      <c r="BB25" s="17"/>
      <c r="BC25" s="35">
        <v>0</v>
      </c>
      <c r="BD25" s="17"/>
      <c r="BE25" s="35">
        <v>0</v>
      </c>
      <c r="BF25" s="17"/>
      <c r="BG25" s="35">
        <f t="shared" si="11"/>
        <v>0</v>
      </c>
      <c r="BH25" s="79"/>
    </row>
    <row r="26" spans="1:60" ht="12.75" hidden="1">
      <c r="A26" s="77" t="s">
        <v>23</v>
      </c>
      <c r="B26" s="96"/>
      <c r="C26" s="35">
        <f t="shared" si="5"/>
        <v>0</v>
      </c>
      <c r="D26" s="35"/>
      <c r="E26" s="35">
        <v>0</v>
      </c>
      <c r="F26" s="35"/>
      <c r="G26" s="35">
        <v>0</v>
      </c>
      <c r="H26" s="35"/>
      <c r="I26" s="35">
        <f t="shared" si="6"/>
        <v>0</v>
      </c>
      <c r="J26" s="35"/>
      <c r="K26" s="35">
        <v>0</v>
      </c>
      <c r="L26" s="35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5">
        <f t="shared" si="7"/>
        <v>0</v>
      </c>
      <c r="V26" s="35"/>
      <c r="W26" s="81" t="s">
        <v>23</v>
      </c>
      <c r="X26" s="35"/>
      <c r="Y26" s="35">
        <v>0</v>
      </c>
      <c r="Z26" s="17"/>
      <c r="AA26" s="35">
        <v>0</v>
      </c>
      <c r="AB26" s="17"/>
      <c r="AC26" s="35">
        <v>0</v>
      </c>
      <c r="AD26" s="17"/>
      <c r="AE26" s="35">
        <f t="shared" si="8"/>
        <v>0</v>
      </c>
      <c r="AF26" s="40"/>
      <c r="AG26" s="35">
        <v>0</v>
      </c>
      <c r="AH26" s="40"/>
      <c r="AI26" s="35">
        <v>0</v>
      </c>
      <c r="AJ26" s="17"/>
      <c r="AK26" s="35">
        <v>0</v>
      </c>
      <c r="AL26" s="17"/>
      <c r="AM26" s="35">
        <v>0</v>
      </c>
      <c r="AN26" s="17"/>
      <c r="AO26" s="35">
        <f t="shared" si="9"/>
        <v>0</v>
      </c>
      <c r="AP26" s="40"/>
      <c r="AQ26" s="17">
        <v>0</v>
      </c>
      <c r="AR26" s="17"/>
      <c r="AS26" s="17">
        <v>0</v>
      </c>
      <c r="AT26" s="17"/>
      <c r="AU26" s="35">
        <f t="shared" si="10"/>
        <v>0</v>
      </c>
      <c r="AV26" s="17"/>
      <c r="AW26" s="81" t="s">
        <v>23</v>
      </c>
      <c r="AX26" s="17"/>
      <c r="AY26" s="35">
        <v>0</v>
      </c>
      <c r="AZ26" s="17"/>
      <c r="BA26" s="35">
        <v>0</v>
      </c>
      <c r="BB26" s="17"/>
      <c r="BC26" s="35">
        <v>0</v>
      </c>
      <c r="BD26" s="17"/>
      <c r="BE26" s="35">
        <v>0</v>
      </c>
      <c r="BF26" s="17"/>
      <c r="BG26" s="35">
        <f t="shared" si="11"/>
        <v>0</v>
      </c>
      <c r="BH26" s="79"/>
    </row>
    <row r="27" spans="1:60" ht="12.75" hidden="1">
      <c r="A27" s="77" t="s">
        <v>24</v>
      </c>
      <c r="B27" s="96"/>
      <c r="C27" s="35">
        <f t="shared" si="5"/>
        <v>0</v>
      </c>
      <c r="D27" s="35"/>
      <c r="E27" s="35">
        <v>0</v>
      </c>
      <c r="F27" s="35"/>
      <c r="G27" s="35">
        <v>0</v>
      </c>
      <c r="H27" s="35"/>
      <c r="I27" s="35">
        <f t="shared" si="6"/>
        <v>0</v>
      </c>
      <c r="J27" s="35"/>
      <c r="K27" s="35">
        <v>0</v>
      </c>
      <c r="L27" s="35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5">
        <f t="shared" si="7"/>
        <v>0</v>
      </c>
      <c r="V27" s="35"/>
      <c r="W27" s="81" t="s">
        <v>24</v>
      </c>
      <c r="X27" s="35"/>
      <c r="Y27" s="35">
        <v>0</v>
      </c>
      <c r="Z27" s="17"/>
      <c r="AA27" s="35">
        <v>0</v>
      </c>
      <c r="AB27" s="17"/>
      <c r="AC27" s="35">
        <v>0</v>
      </c>
      <c r="AD27" s="17"/>
      <c r="AE27" s="35">
        <f t="shared" si="8"/>
        <v>0</v>
      </c>
      <c r="AF27" s="40"/>
      <c r="AG27" s="35">
        <v>0</v>
      </c>
      <c r="AH27" s="40"/>
      <c r="AI27" s="35">
        <v>0</v>
      </c>
      <c r="AJ27" s="17"/>
      <c r="AK27" s="35">
        <v>0</v>
      </c>
      <c r="AL27" s="17"/>
      <c r="AM27" s="35">
        <v>0</v>
      </c>
      <c r="AN27" s="17"/>
      <c r="AO27" s="35">
        <f t="shared" si="9"/>
        <v>0</v>
      </c>
      <c r="AP27" s="40"/>
      <c r="AQ27" s="17">
        <v>0</v>
      </c>
      <c r="AR27" s="17"/>
      <c r="AS27" s="17">
        <v>0</v>
      </c>
      <c r="AT27" s="17"/>
      <c r="AU27" s="35">
        <f t="shared" si="10"/>
        <v>0</v>
      </c>
      <c r="AV27" s="17"/>
      <c r="AW27" s="81" t="s">
        <v>24</v>
      </c>
      <c r="AX27" s="17"/>
      <c r="AY27" s="35">
        <v>0</v>
      </c>
      <c r="AZ27" s="17"/>
      <c r="BA27" s="35">
        <v>0</v>
      </c>
      <c r="BB27" s="17"/>
      <c r="BC27" s="35">
        <v>0</v>
      </c>
      <c r="BD27" s="17"/>
      <c r="BE27" s="35">
        <v>0</v>
      </c>
      <c r="BF27" s="17"/>
      <c r="BG27" s="35">
        <f t="shared" si="11"/>
        <v>0</v>
      </c>
      <c r="BH27" s="79"/>
    </row>
    <row r="28" spans="1:60" ht="12.75" hidden="1">
      <c r="A28" s="77" t="s">
        <v>243</v>
      </c>
      <c r="B28" s="96"/>
      <c r="C28" s="35">
        <f t="shared" si="5"/>
        <v>0</v>
      </c>
      <c r="D28" s="35"/>
      <c r="E28" s="35">
        <v>0</v>
      </c>
      <c r="F28" s="35"/>
      <c r="G28" s="35">
        <v>0</v>
      </c>
      <c r="H28" s="35"/>
      <c r="I28" s="35">
        <f t="shared" si="6"/>
        <v>0</v>
      </c>
      <c r="J28" s="35"/>
      <c r="K28" s="35">
        <v>0</v>
      </c>
      <c r="L28" s="35"/>
      <c r="M28" s="35"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5">
        <f t="shared" si="7"/>
        <v>0</v>
      </c>
      <c r="V28" s="35"/>
      <c r="W28" s="81" t="s">
        <v>179</v>
      </c>
      <c r="X28" s="35"/>
      <c r="Y28" s="35">
        <v>0</v>
      </c>
      <c r="Z28" s="17"/>
      <c r="AA28" s="35">
        <v>0</v>
      </c>
      <c r="AB28" s="17"/>
      <c r="AC28" s="35">
        <v>0</v>
      </c>
      <c r="AD28" s="17"/>
      <c r="AE28" s="35">
        <f t="shared" si="8"/>
        <v>0</v>
      </c>
      <c r="AF28" s="40"/>
      <c r="AG28" s="35">
        <v>0</v>
      </c>
      <c r="AH28" s="40"/>
      <c r="AI28" s="35">
        <v>0</v>
      </c>
      <c r="AJ28" s="17"/>
      <c r="AK28" s="35">
        <v>0</v>
      </c>
      <c r="AL28" s="17"/>
      <c r="AM28" s="35">
        <v>0</v>
      </c>
      <c r="AN28" s="17"/>
      <c r="AO28" s="35">
        <f t="shared" si="9"/>
        <v>0</v>
      </c>
      <c r="AP28" s="40"/>
      <c r="AQ28" s="17">
        <v>0</v>
      </c>
      <c r="AR28" s="17"/>
      <c r="AS28" s="17">
        <v>0</v>
      </c>
      <c r="AT28" s="17"/>
      <c r="AU28" s="35">
        <f t="shared" si="10"/>
        <v>0</v>
      </c>
      <c r="AV28" s="17"/>
      <c r="AW28" s="81" t="s">
        <v>179</v>
      </c>
      <c r="AX28" s="17"/>
      <c r="AY28" s="35">
        <v>0</v>
      </c>
      <c r="AZ28" s="17"/>
      <c r="BA28" s="35">
        <v>0</v>
      </c>
      <c r="BB28" s="17"/>
      <c r="BC28" s="35">
        <v>0</v>
      </c>
      <c r="BD28" s="17"/>
      <c r="BE28" s="35">
        <v>0</v>
      </c>
      <c r="BF28" s="17"/>
      <c r="BG28" s="35">
        <f t="shared" si="11"/>
        <v>0</v>
      </c>
      <c r="BH28" s="79"/>
    </row>
    <row r="29" spans="1:60" ht="12.75" hidden="1">
      <c r="A29" s="77" t="s">
        <v>25</v>
      </c>
      <c r="B29" s="96"/>
      <c r="C29" s="35">
        <f aca="true" t="shared" si="12" ref="C29:C92">G29-E29</f>
        <v>0</v>
      </c>
      <c r="D29" s="35"/>
      <c r="E29" s="35">
        <v>0</v>
      </c>
      <c r="F29" s="35"/>
      <c r="G29" s="35">
        <v>0</v>
      </c>
      <c r="H29" s="35"/>
      <c r="I29" s="35">
        <f t="shared" si="0"/>
        <v>0</v>
      </c>
      <c r="J29" s="35"/>
      <c r="K29" s="35">
        <v>0</v>
      </c>
      <c r="L29" s="35"/>
      <c r="M29" s="35">
        <v>0</v>
      </c>
      <c r="N29" s="35"/>
      <c r="O29" s="35">
        <v>0</v>
      </c>
      <c r="P29" s="35"/>
      <c r="Q29" s="35">
        <v>0</v>
      </c>
      <c r="R29" s="35"/>
      <c r="S29" s="35">
        <v>0</v>
      </c>
      <c r="T29" s="35"/>
      <c r="U29" s="35">
        <f t="shared" si="1"/>
        <v>0</v>
      </c>
      <c r="V29" s="35"/>
      <c r="W29" s="81" t="s">
        <v>25</v>
      </c>
      <c r="X29" s="35"/>
      <c r="Y29" s="35">
        <v>0</v>
      </c>
      <c r="Z29" s="17"/>
      <c r="AA29" s="35">
        <v>0</v>
      </c>
      <c r="AB29" s="17"/>
      <c r="AC29" s="35">
        <v>0</v>
      </c>
      <c r="AD29" s="17"/>
      <c r="AE29" s="35">
        <f t="shared" si="2"/>
        <v>0</v>
      </c>
      <c r="AF29" s="40"/>
      <c r="AG29" s="35">
        <v>0</v>
      </c>
      <c r="AH29" s="40"/>
      <c r="AI29" s="35">
        <v>0</v>
      </c>
      <c r="AJ29" s="17"/>
      <c r="AK29" s="35">
        <v>0</v>
      </c>
      <c r="AL29" s="17"/>
      <c r="AM29" s="35">
        <v>0</v>
      </c>
      <c r="AN29" s="17"/>
      <c r="AO29" s="35">
        <f t="shared" si="3"/>
        <v>0</v>
      </c>
      <c r="AP29" s="40"/>
      <c r="AQ29" s="17">
        <v>0</v>
      </c>
      <c r="AR29" s="17"/>
      <c r="AS29" s="17">
        <v>0</v>
      </c>
      <c r="AT29" s="17"/>
      <c r="AU29" s="35">
        <f t="shared" si="4"/>
        <v>0</v>
      </c>
      <c r="AV29" s="17"/>
      <c r="AW29" s="81" t="s">
        <v>25</v>
      </c>
      <c r="AX29" s="17"/>
      <c r="AY29" s="35">
        <v>0</v>
      </c>
      <c r="AZ29" s="17"/>
      <c r="BA29" s="35">
        <v>0</v>
      </c>
      <c r="BB29" s="17"/>
      <c r="BC29" s="35">
        <v>0</v>
      </c>
      <c r="BD29" s="17"/>
      <c r="BE29" s="35">
        <v>0</v>
      </c>
      <c r="BF29" s="17"/>
      <c r="BG29" s="35">
        <f aca="true" t="shared" si="13" ref="BG29:BG92">SUM(AY29:BE29)</f>
        <v>0</v>
      </c>
      <c r="BH29" s="79"/>
    </row>
    <row r="30" spans="1:60" ht="12.75" hidden="1">
      <c r="A30" s="77" t="s">
        <v>26</v>
      </c>
      <c r="B30" s="96"/>
      <c r="C30" s="35">
        <f t="shared" si="12"/>
        <v>0</v>
      </c>
      <c r="D30" s="35"/>
      <c r="E30" s="35">
        <v>0</v>
      </c>
      <c r="F30" s="35"/>
      <c r="G30" s="35">
        <v>0</v>
      </c>
      <c r="H30" s="35"/>
      <c r="I30" s="35">
        <f t="shared" si="0"/>
        <v>0</v>
      </c>
      <c r="J30" s="35"/>
      <c r="K30" s="35">
        <v>0</v>
      </c>
      <c r="L30" s="35"/>
      <c r="M30" s="35"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5">
        <f t="shared" si="1"/>
        <v>0</v>
      </c>
      <c r="V30" s="96"/>
      <c r="W30" s="81" t="s">
        <v>26</v>
      </c>
      <c r="X30" s="96"/>
      <c r="Y30" s="35">
        <v>0</v>
      </c>
      <c r="Z30" s="17"/>
      <c r="AA30" s="35">
        <v>0</v>
      </c>
      <c r="AB30" s="17"/>
      <c r="AC30" s="35">
        <v>0</v>
      </c>
      <c r="AD30" s="17"/>
      <c r="AE30" s="35">
        <f t="shared" si="2"/>
        <v>0</v>
      </c>
      <c r="AF30" s="40"/>
      <c r="AG30" s="35">
        <v>0</v>
      </c>
      <c r="AH30" s="40"/>
      <c r="AI30" s="35">
        <v>0</v>
      </c>
      <c r="AJ30" s="17"/>
      <c r="AK30" s="35">
        <v>0</v>
      </c>
      <c r="AL30" s="17"/>
      <c r="AM30" s="35">
        <v>0</v>
      </c>
      <c r="AN30" s="17"/>
      <c r="AO30" s="35">
        <f t="shared" si="3"/>
        <v>0</v>
      </c>
      <c r="AP30" s="40"/>
      <c r="AQ30" s="17">
        <v>0</v>
      </c>
      <c r="AR30" s="17"/>
      <c r="AS30" s="17">
        <v>0</v>
      </c>
      <c r="AT30" s="17"/>
      <c r="AU30" s="35">
        <f t="shared" si="4"/>
        <v>0</v>
      </c>
      <c r="AV30" s="96"/>
      <c r="AW30" s="81" t="s">
        <v>26</v>
      </c>
      <c r="AX30" s="96"/>
      <c r="AY30" s="35">
        <v>0</v>
      </c>
      <c r="AZ30" s="17"/>
      <c r="BA30" s="35">
        <v>0</v>
      </c>
      <c r="BB30" s="17"/>
      <c r="BC30" s="35">
        <v>0</v>
      </c>
      <c r="BD30" s="17"/>
      <c r="BE30" s="35">
        <v>0</v>
      </c>
      <c r="BF30" s="17"/>
      <c r="BG30" s="35">
        <f t="shared" si="13"/>
        <v>0</v>
      </c>
      <c r="BH30" s="79"/>
    </row>
    <row r="31" spans="1:60" ht="12.75">
      <c r="A31" s="77" t="s">
        <v>27</v>
      </c>
      <c r="B31" s="96"/>
      <c r="C31" s="35">
        <f t="shared" si="12"/>
        <v>9163885</v>
      </c>
      <c r="D31" s="35"/>
      <c r="E31" s="35">
        <v>10549474</v>
      </c>
      <c r="F31" s="35"/>
      <c r="G31" s="35">
        <v>19713359</v>
      </c>
      <c r="H31" s="35"/>
      <c r="I31" s="35">
        <f t="shared" si="0"/>
        <v>171300</v>
      </c>
      <c r="J31" s="35"/>
      <c r="K31" s="35">
        <v>3816344</v>
      </c>
      <c r="L31" s="35"/>
      <c r="M31" s="35">
        <v>3987644</v>
      </c>
      <c r="N31" s="35"/>
      <c r="O31" s="35">
        <v>5091325</v>
      </c>
      <c r="P31" s="35"/>
      <c r="Q31" s="35">
        <v>1684572</v>
      </c>
      <c r="R31" s="35"/>
      <c r="S31" s="35">
        <v>8949818</v>
      </c>
      <c r="T31" s="35"/>
      <c r="U31" s="35">
        <f t="shared" si="1"/>
        <v>15725715</v>
      </c>
      <c r="V31" s="35"/>
      <c r="W31" s="81" t="s">
        <v>27</v>
      </c>
      <c r="X31" s="35"/>
      <c r="Y31" s="35">
        <f>2737669</f>
        <v>2737669</v>
      </c>
      <c r="Z31" s="17"/>
      <c r="AA31" s="35">
        <f>2197066-254504</f>
        <v>1942562</v>
      </c>
      <c r="AB31" s="17"/>
      <c r="AC31" s="35">
        <v>254504</v>
      </c>
      <c r="AD31" s="17"/>
      <c r="AE31" s="35">
        <f t="shared" si="2"/>
        <v>540603</v>
      </c>
      <c r="AF31" s="40"/>
      <c r="AG31" s="35">
        <v>47674</v>
      </c>
      <c r="AH31" s="40"/>
      <c r="AI31" s="35">
        <v>0</v>
      </c>
      <c r="AJ31" s="17"/>
      <c r="AK31" s="35">
        <v>0</v>
      </c>
      <c r="AL31" s="17"/>
      <c r="AM31" s="35">
        <v>4278</v>
      </c>
      <c r="AN31" s="17"/>
      <c r="AO31" s="35">
        <f t="shared" si="3"/>
        <v>592555</v>
      </c>
      <c r="AP31" s="40"/>
      <c r="AQ31" s="17">
        <v>0</v>
      </c>
      <c r="AR31" s="17"/>
      <c r="AS31" s="17">
        <v>0</v>
      </c>
      <c r="AT31" s="17"/>
      <c r="AU31" s="35">
        <f t="shared" si="4"/>
        <v>8992585</v>
      </c>
      <c r="AV31" s="17"/>
      <c r="AW31" s="81" t="s">
        <v>27</v>
      </c>
      <c r="AX31" s="17"/>
      <c r="AY31" s="35">
        <v>0</v>
      </c>
      <c r="AZ31" s="17"/>
      <c r="BA31" s="35">
        <v>0</v>
      </c>
      <c r="BB31" s="17"/>
      <c r="BC31" s="35">
        <v>0</v>
      </c>
      <c r="BD31" s="17"/>
      <c r="BE31" s="35">
        <f>3773577+42767</f>
        <v>3816344</v>
      </c>
      <c r="BF31" s="17"/>
      <c r="BG31" s="35">
        <f t="shared" si="13"/>
        <v>3816344</v>
      </c>
      <c r="BH31" s="79"/>
    </row>
    <row r="32" spans="1:60" ht="12.75" customHeight="1" hidden="1">
      <c r="A32" s="77" t="s">
        <v>28</v>
      </c>
      <c r="B32" s="96"/>
      <c r="C32" s="35">
        <f t="shared" si="12"/>
        <v>0</v>
      </c>
      <c r="D32" s="35"/>
      <c r="E32" s="35">
        <v>0</v>
      </c>
      <c r="F32" s="35"/>
      <c r="G32" s="35">
        <v>0</v>
      </c>
      <c r="H32" s="35"/>
      <c r="I32" s="35">
        <f t="shared" si="0"/>
        <v>0</v>
      </c>
      <c r="J32" s="35"/>
      <c r="K32" s="35">
        <v>0</v>
      </c>
      <c r="L32" s="35"/>
      <c r="M32" s="35">
        <v>0</v>
      </c>
      <c r="N32" s="35"/>
      <c r="O32" s="35">
        <v>0</v>
      </c>
      <c r="P32" s="35"/>
      <c r="Q32" s="35">
        <v>0</v>
      </c>
      <c r="R32" s="35"/>
      <c r="S32" s="35">
        <v>0</v>
      </c>
      <c r="T32" s="35"/>
      <c r="U32" s="35">
        <f t="shared" si="1"/>
        <v>0</v>
      </c>
      <c r="V32" s="96"/>
      <c r="W32" s="81" t="s">
        <v>28</v>
      </c>
      <c r="X32" s="96"/>
      <c r="Y32" s="35">
        <v>0</v>
      </c>
      <c r="Z32" s="17"/>
      <c r="AA32" s="35"/>
      <c r="AB32" s="17"/>
      <c r="AC32" s="35"/>
      <c r="AD32" s="17"/>
      <c r="AE32" s="35">
        <f t="shared" si="2"/>
        <v>0</v>
      </c>
      <c r="AF32" s="40"/>
      <c r="AG32" s="35">
        <v>0</v>
      </c>
      <c r="AH32" s="40"/>
      <c r="AI32" s="35">
        <v>0</v>
      </c>
      <c r="AJ32" s="17"/>
      <c r="AK32" s="35">
        <v>0</v>
      </c>
      <c r="AL32" s="17"/>
      <c r="AM32" s="35">
        <v>0</v>
      </c>
      <c r="AN32" s="17"/>
      <c r="AO32" s="35">
        <f t="shared" si="3"/>
        <v>0</v>
      </c>
      <c r="AP32" s="40"/>
      <c r="AQ32" s="17">
        <v>0</v>
      </c>
      <c r="AR32" s="17"/>
      <c r="AS32" s="17">
        <v>0</v>
      </c>
      <c r="AT32" s="17"/>
      <c r="AU32" s="35">
        <f t="shared" si="4"/>
        <v>0</v>
      </c>
      <c r="AV32" s="96"/>
      <c r="AW32" s="81" t="s">
        <v>28</v>
      </c>
      <c r="AX32" s="96"/>
      <c r="AY32" s="35">
        <v>0</v>
      </c>
      <c r="AZ32" s="17"/>
      <c r="BA32" s="35">
        <v>0</v>
      </c>
      <c r="BB32" s="17"/>
      <c r="BC32" s="35">
        <v>0</v>
      </c>
      <c r="BD32" s="17"/>
      <c r="BE32" s="35">
        <v>0</v>
      </c>
      <c r="BF32" s="17"/>
      <c r="BG32" s="35">
        <f t="shared" si="13"/>
        <v>0</v>
      </c>
      <c r="BH32" s="79"/>
    </row>
    <row r="33" spans="1:60" ht="12.75">
      <c r="A33" s="77" t="s">
        <v>29</v>
      </c>
      <c r="B33" s="96"/>
      <c r="C33" s="35">
        <f t="shared" si="12"/>
        <v>7196944</v>
      </c>
      <c r="D33" s="35"/>
      <c r="E33" s="35">
        <v>6032516</v>
      </c>
      <c r="F33" s="35"/>
      <c r="G33" s="35">
        <v>13229460</v>
      </c>
      <c r="H33" s="35"/>
      <c r="I33" s="35">
        <f t="shared" si="0"/>
        <v>1371250</v>
      </c>
      <c r="J33" s="35"/>
      <c r="K33" s="35">
        <v>32822555</v>
      </c>
      <c r="L33" s="35"/>
      <c r="M33" s="35">
        <v>34193805</v>
      </c>
      <c r="N33" s="35"/>
      <c r="O33" s="35">
        <v>-11974220</v>
      </c>
      <c r="P33" s="35"/>
      <c r="Q33" s="35">
        <v>0</v>
      </c>
      <c r="R33" s="35"/>
      <c r="S33" s="35">
        <v>-8990125</v>
      </c>
      <c r="T33" s="35"/>
      <c r="U33" s="35">
        <f t="shared" si="1"/>
        <v>-20964345</v>
      </c>
      <c r="V33" s="35"/>
      <c r="W33" s="81" t="s">
        <v>29</v>
      </c>
      <c r="X33" s="35"/>
      <c r="Y33" s="35">
        <v>5595360</v>
      </c>
      <c r="Z33" s="17"/>
      <c r="AA33" s="35">
        <f>3941338-337816</f>
        <v>3603522</v>
      </c>
      <c r="AB33" s="17"/>
      <c r="AC33" s="35">
        <v>337816</v>
      </c>
      <c r="AD33" s="17"/>
      <c r="AE33" s="35">
        <f t="shared" si="2"/>
        <v>1654022</v>
      </c>
      <c r="AF33" s="40"/>
      <c r="AG33" s="35">
        <v>-881239</v>
      </c>
      <c r="AH33" s="40"/>
      <c r="AI33" s="35">
        <v>0</v>
      </c>
      <c r="AJ33" s="17"/>
      <c r="AK33" s="35">
        <v>0</v>
      </c>
      <c r="AL33" s="17"/>
      <c r="AM33" s="35">
        <v>0</v>
      </c>
      <c r="AN33" s="17"/>
      <c r="AO33" s="35">
        <f t="shared" si="3"/>
        <v>772783</v>
      </c>
      <c r="AP33" s="40"/>
      <c r="AQ33" s="17">
        <v>0</v>
      </c>
      <c r="AR33" s="17"/>
      <c r="AS33" s="17">
        <v>0</v>
      </c>
      <c r="AT33" s="17"/>
      <c r="AU33" s="35">
        <f t="shared" si="4"/>
        <v>5825694</v>
      </c>
      <c r="AV33" s="17"/>
      <c r="AW33" s="81" t="s">
        <v>29</v>
      </c>
      <c r="AX33" s="17"/>
      <c r="AY33" s="35">
        <v>17076719</v>
      </c>
      <c r="AZ33" s="17"/>
      <c r="BA33" s="35">
        <v>0</v>
      </c>
      <c r="BB33" s="17"/>
      <c r="BC33" s="35">
        <v>0</v>
      </c>
      <c r="BD33" s="17"/>
      <c r="BE33" s="35">
        <f>23717+15722119</f>
        <v>15745836</v>
      </c>
      <c r="BF33" s="17"/>
      <c r="BG33" s="35">
        <f t="shared" si="13"/>
        <v>32822555</v>
      </c>
      <c r="BH33" s="79"/>
    </row>
    <row r="34" spans="1:60" ht="12.75" customHeight="1" hidden="1">
      <c r="A34" s="77" t="s">
        <v>30</v>
      </c>
      <c r="B34" s="96"/>
      <c r="C34" s="35">
        <f t="shared" si="12"/>
        <v>0</v>
      </c>
      <c r="D34" s="35"/>
      <c r="E34" s="24">
        <v>0</v>
      </c>
      <c r="F34" s="35"/>
      <c r="G34" s="24">
        <v>0</v>
      </c>
      <c r="H34" s="35"/>
      <c r="I34" s="35">
        <f t="shared" si="0"/>
        <v>0</v>
      </c>
      <c r="J34" s="35"/>
      <c r="K34" s="24">
        <v>0</v>
      </c>
      <c r="L34" s="35"/>
      <c r="M34" s="24">
        <v>0</v>
      </c>
      <c r="N34" s="35"/>
      <c r="O34" s="24">
        <v>0</v>
      </c>
      <c r="P34" s="35"/>
      <c r="Q34" s="24">
        <v>0</v>
      </c>
      <c r="R34" s="35"/>
      <c r="S34" s="24">
        <v>0</v>
      </c>
      <c r="T34" s="35"/>
      <c r="U34" s="35">
        <f t="shared" si="1"/>
        <v>0</v>
      </c>
      <c r="V34" s="96"/>
      <c r="W34" s="81" t="s">
        <v>30</v>
      </c>
      <c r="X34" s="96"/>
      <c r="Y34" s="24">
        <v>0</v>
      </c>
      <c r="Z34" s="17"/>
      <c r="AA34" s="24">
        <v>0</v>
      </c>
      <c r="AB34" s="17"/>
      <c r="AC34" s="24">
        <v>0</v>
      </c>
      <c r="AD34" s="17"/>
      <c r="AE34" s="35">
        <f t="shared" si="2"/>
        <v>0</v>
      </c>
      <c r="AF34" s="40"/>
      <c r="AG34" s="24">
        <v>0</v>
      </c>
      <c r="AH34" s="40"/>
      <c r="AI34" s="24">
        <v>0</v>
      </c>
      <c r="AJ34" s="17"/>
      <c r="AK34" s="24">
        <v>0</v>
      </c>
      <c r="AL34" s="17"/>
      <c r="AM34" s="24">
        <v>0</v>
      </c>
      <c r="AN34" s="17"/>
      <c r="AO34" s="35">
        <f t="shared" si="3"/>
        <v>0</v>
      </c>
      <c r="AP34" s="40"/>
      <c r="AQ34" s="17">
        <v>0</v>
      </c>
      <c r="AR34" s="17"/>
      <c r="AS34" s="17">
        <v>0</v>
      </c>
      <c r="AT34" s="17"/>
      <c r="AU34" s="35">
        <f t="shared" si="4"/>
        <v>0</v>
      </c>
      <c r="AV34" s="96"/>
      <c r="AW34" s="81" t="s">
        <v>30</v>
      </c>
      <c r="AX34" s="96"/>
      <c r="AY34" s="24">
        <v>0</v>
      </c>
      <c r="AZ34" s="17"/>
      <c r="BA34" s="24">
        <v>0</v>
      </c>
      <c r="BB34" s="17"/>
      <c r="BC34" s="24">
        <v>0</v>
      </c>
      <c r="BD34" s="17"/>
      <c r="BE34" s="24">
        <v>0</v>
      </c>
      <c r="BF34" s="17"/>
      <c r="BG34" s="35">
        <f t="shared" si="13"/>
        <v>0</v>
      </c>
      <c r="BH34" s="79"/>
    </row>
    <row r="35" spans="1:60" ht="12.75" customHeight="1" hidden="1">
      <c r="A35" s="77" t="s">
        <v>31</v>
      </c>
      <c r="B35" s="96"/>
      <c r="C35" s="35">
        <f t="shared" si="12"/>
        <v>0</v>
      </c>
      <c r="D35" s="35"/>
      <c r="E35" s="24">
        <v>0</v>
      </c>
      <c r="F35" s="35"/>
      <c r="G35" s="24">
        <v>0</v>
      </c>
      <c r="H35" s="35"/>
      <c r="I35" s="35">
        <f t="shared" si="0"/>
        <v>0</v>
      </c>
      <c r="J35" s="35"/>
      <c r="K35" s="24">
        <v>0</v>
      </c>
      <c r="L35" s="35"/>
      <c r="M35" s="24">
        <v>0</v>
      </c>
      <c r="N35" s="35"/>
      <c r="O35" s="24">
        <v>0</v>
      </c>
      <c r="P35" s="35"/>
      <c r="Q35" s="24">
        <v>0</v>
      </c>
      <c r="R35" s="35"/>
      <c r="S35" s="24">
        <v>0</v>
      </c>
      <c r="T35" s="35"/>
      <c r="U35" s="35">
        <f t="shared" si="1"/>
        <v>0</v>
      </c>
      <c r="V35" s="96"/>
      <c r="W35" s="81" t="s">
        <v>31</v>
      </c>
      <c r="X35" s="96"/>
      <c r="Y35" s="24">
        <v>0</v>
      </c>
      <c r="Z35" s="17"/>
      <c r="AA35" s="24">
        <v>0</v>
      </c>
      <c r="AB35" s="17"/>
      <c r="AC35" s="24">
        <v>0</v>
      </c>
      <c r="AD35" s="17"/>
      <c r="AE35" s="35">
        <f t="shared" si="2"/>
        <v>0</v>
      </c>
      <c r="AF35" s="40"/>
      <c r="AG35" s="24">
        <v>0</v>
      </c>
      <c r="AH35" s="40"/>
      <c r="AI35" s="24">
        <v>0</v>
      </c>
      <c r="AJ35" s="17"/>
      <c r="AK35" s="24">
        <v>0</v>
      </c>
      <c r="AL35" s="17"/>
      <c r="AM35" s="24">
        <v>0</v>
      </c>
      <c r="AN35" s="17"/>
      <c r="AO35" s="35">
        <f t="shared" si="3"/>
        <v>0</v>
      </c>
      <c r="AP35" s="40"/>
      <c r="AQ35" s="17">
        <v>0</v>
      </c>
      <c r="AR35" s="17"/>
      <c r="AS35" s="17">
        <v>0</v>
      </c>
      <c r="AT35" s="17"/>
      <c r="AU35" s="35">
        <f t="shared" si="4"/>
        <v>0</v>
      </c>
      <c r="AV35" s="96"/>
      <c r="AW35" s="81" t="s">
        <v>31</v>
      </c>
      <c r="AX35" s="96"/>
      <c r="AY35" s="24">
        <v>0</v>
      </c>
      <c r="AZ35" s="17"/>
      <c r="BA35" s="24">
        <v>0</v>
      </c>
      <c r="BB35" s="17"/>
      <c r="BC35" s="24">
        <v>0</v>
      </c>
      <c r="BD35" s="17"/>
      <c r="BE35" s="24">
        <v>0</v>
      </c>
      <c r="BF35" s="17"/>
      <c r="BG35" s="35">
        <f t="shared" si="13"/>
        <v>0</v>
      </c>
      <c r="BH35" s="79"/>
    </row>
    <row r="36" spans="1:60" ht="12.75" customHeight="1" hidden="1">
      <c r="A36" s="77" t="s">
        <v>32</v>
      </c>
      <c r="B36" s="96"/>
      <c r="C36" s="35">
        <f t="shared" si="12"/>
        <v>0</v>
      </c>
      <c r="D36" s="35"/>
      <c r="E36" s="24">
        <v>0</v>
      </c>
      <c r="F36" s="35"/>
      <c r="G36" s="24">
        <v>0</v>
      </c>
      <c r="H36" s="35"/>
      <c r="I36" s="35">
        <f t="shared" si="0"/>
        <v>0</v>
      </c>
      <c r="J36" s="35"/>
      <c r="K36" s="24">
        <v>0</v>
      </c>
      <c r="L36" s="35"/>
      <c r="M36" s="24">
        <v>0</v>
      </c>
      <c r="N36" s="35"/>
      <c r="O36" s="24">
        <v>0</v>
      </c>
      <c r="P36" s="35"/>
      <c r="Q36" s="24">
        <v>0</v>
      </c>
      <c r="R36" s="35"/>
      <c r="S36" s="24">
        <v>0</v>
      </c>
      <c r="T36" s="35"/>
      <c r="U36" s="35">
        <f t="shared" si="1"/>
        <v>0</v>
      </c>
      <c r="V36" s="96"/>
      <c r="W36" s="81" t="s">
        <v>32</v>
      </c>
      <c r="X36" s="96"/>
      <c r="Y36" s="24">
        <v>0</v>
      </c>
      <c r="Z36" s="17"/>
      <c r="AA36" s="24">
        <v>0</v>
      </c>
      <c r="AB36" s="17"/>
      <c r="AC36" s="24">
        <v>0</v>
      </c>
      <c r="AD36" s="17"/>
      <c r="AE36" s="35">
        <f t="shared" si="2"/>
        <v>0</v>
      </c>
      <c r="AF36" s="40"/>
      <c r="AG36" s="24">
        <v>0</v>
      </c>
      <c r="AH36" s="40"/>
      <c r="AI36" s="24">
        <v>0</v>
      </c>
      <c r="AJ36" s="17"/>
      <c r="AK36" s="24">
        <v>0</v>
      </c>
      <c r="AL36" s="17"/>
      <c r="AM36" s="24">
        <v>0</v>
      </c>
      <c r="AN36" s="17"/>
      <c r="AO36" s="35">
        <f t="shared" si="3"/>
        <v>0</v>
      </c>
      <c r="AP36" s="40"/>
      <c r="AQ36" s="17">
        <v>0</v>
      </c>
      <c r="AR36" s="17"/>
      <c r="AS36" s="17">
        <v>0</v>
      </c>
      <c r="AT36" s="17"/>
      <c r="AU36" s="35">
        <f t="shared" si="4"/>
        <v>0</v>
      </c>
      <c r="AV36" s="96"/>
      <c r="AW36" s="81" t="s">
        <v>32</v>
      </c>
      <c r="AX36" s="96"/>
      <c r="AY36" s="24">
        <v>0</v>
      </c>
      <c r="AZ36" s="17"/>
      <c r="BA36" s="24">
        <v>0</v>
      </c>
      <c r="BB36" s="17"/>
      <c r="BC36" s="24">
        <v>0</v>
      </c>
      <c r="BD36" s="17"/>
      <c r="BE36" s="24">
        <v>0</v>
      </c>
      <c r="BF36" s="17"/>
      <c r="BG36" s="35">
        <f t="shared" si="13"/>
        <v>0</v>
      </c>
      <c r="BH36" s="79"/>
    </row>
    <row r="37" spans="1:60" ht="12.75" customHeight="1" hidden="1">
      <c r="A37" s="77" t="s">
        <v>33</v>
      </c>
      <c r="B37" s="96"/>
      <c r="C37" s="35">
        <f t="shared" si="12"/>
        <v>0</v>
      </c>
      <c r="D37" s="35"/>
      <c r="E37" s="24">
        <v>0</v>
      </c>
      <c r="F37" s="35"/>
      <c r="G37" s="24">
        <v>0</v>
      </c>
      <c r="H37" s="35"/>
      <c r="I37" s="35">
        <f t="shared" si="0"/>
        <v>0</v>
      </c>
      <c r="J37" s="35"/>
      <c r="K37" s="24">
        <v>0</v>
      </c>
      <c r="L37" s="35"/>
      <c r="M37" s="24">
        <v>0</v>
      </c>
      <c r="N37" s="35"/>
      <c r="O37" s="24">
        <v>0</v>
      </c>
      <c r="P37" s="35"/>
      <c r="Q37" s="24">
        <v>0</v>
      </c>
      <c r="R37" s="35"/>
      <c r="S37" s="24">
        <v>0</v>
      </c>
      <c r="T37" s="35"/>
      <c r="U37" s="35">
        <f t="shared" si="1"/>
        <v>0</v>
      </c>
      <c r="V37" s="35"/>
      <c r="W37" s="81" t="s">
        <v>33</v>
      </c>
      <c r="X37" s="35"/>
      <c r="Y37" s="24">
        <v>0</v>
      </c>
      <c r="Z37" s="17"/>
      <c r="AA37" s="24">
        <v>0</v>
      </c>
      <c r="AB37" s="17"/>
      <c r="AC37" s="24">
        <v>0</v>
      </c>
      <c r="AD37" s="17"/>
      <c r="AE37" s="35">
        <f t="shared" si="2"/>
        <v>0</v>
      </c>
      <c r="AF37" s="40"/>
      <c r="AG37" s="24">
        <v>0</v>
      </c>
      <c r="AH37" s="40"/>
      <c r="AI37" s="24">
        <v>0</v>
      </c>
      <c r="AJ37" s="17"/>
      <c r="AK37" s="24">
        <v>0</v>
      </c>
      <c r="AL37" s="17"/>
      <c r="AM37" s="24">
        <v>0</v>
      </c>
      <c r="AN37" s="17"/>
      <c r="AO37" s="35">
        <f t="shared" si="3"/>
        <v>0</v>
      </c>
      <c r="AP37" s="40"/>
      <c r="AQ37" s="17">
        <v>0</v>
      </c>
      <c r="AR37" s="17"/>
      <c r="AS37" s="17">
        <v>0</v>
      </c>
      <c r="AT37" s="17"/>
      <c r="AU37" s="35">
        <f t="shared" si="4"/>
        <v>0</v>
      </c>
      <c r="AV37" s="17"/>
      <c r="AW37" s="81" t="s">
        <v>33</v>
      </c>
      <c r="AX37" s="17"/>
      <c r="AY37" s="24">
        <v>0</v>
      </c>
      <c r="AZ37" s="17"/>
      <c r="BA37" s="24">
        <v>0</v>
      </c>
      <c r="BB37" s="17"/>
      <c r="BC37" s="24">
        <v>0</v>
      </c>
      <c r="BD37" s="17"/>
      <c r="BE37" s="24">
        <v>0</v>
      </c>
      <c r="BF37" s="17"/>
      <c r="BG37" s="35">
        <f t="shared" si="13"/>
        <v>0</v>
      </c>
      <c r="BH37" s="79"/>
    </row>
    <row r="38" spans="1:60" ht="12.75" customHeight="1" hidden="1">
      <c r="A38" s="77" t="s">
        <v>34</v>
      </c>
      <c r="B38" s="96"/>
      <c r="C38" s="35">
        <f t="shared" si="12"/>
        <v>0</v>
      </c>
      <c r="D38" s="35"/>
      <c r="E38" s="24">
        <v>0</v>
      </c>
      <c r="F38" s="35"/>
      <c r="G38" s="24">
        <v>0</v>
      </c>
      <c r="H38" s="35"/>
      <c r="I38" s="35">
        <f t="shared" si="0"/>
        <v>0</v>
      </c>
      <c r="J38" s="35"/>
      <c r="K38" s="24">
        <v>0</v>
      </c>
      <c r="L38" s="35"/>
      <c r="M38" s="24">
        <v>0</v>
      </c>
      <c r="N38" s="35"/>
      <c r="O38" s="24">
        <v>0</v>
      </c>
      <c r="P38" s="35"/>
      <c r="Q38" s="24">
        <v>0</v>
      </c>
      <c r="R38" s="35"/>
      <c r="S38" s="24">
        <v>0</v>
      </c>
      <c r="T38" s="35"/>
      <c r="U38" s="35">
        <f t="shared" si="1"/>
        <v>0</v>
      </c>
      <c r="V38" s="35"/>
      <c r="W38" s="81" t="s">
        <v>34</v>
      </c>
      <c r="X38" s="35"/>
      <c r="Y38" s="24">
        <v>0</v>
      </c>
      <c r="Z38" s="17"/>
      <c r="AA38" s="24">
        <v>0</v>
      </c>
      <c r="AB38" s="17"/>
      <c r="AC38" s="24">
        <v>0</v>
      </c>
      <c r="AD38" s="17"/>
      <c r="AE38" s="35">
        <f t="shared" si="2"/>
        <v>0</v>
      </c>
      <c r="AF38" s="40"/>
      <c r="AG38" s="24">
        <v>0</v>
      </c>
      <c r="AH38" s="40"/>
      <c r="AI38" s="24">
        <v>0</v>
      </c>
      <c r="AJ38" s="17"/>
      <c r="AK38" s="24">
        <v>0</v>
      </c>
      <c r="AL38" s="17"/>
      <c r="AM38" s="24">
        <v>0</v>
      </c>
      <c r="AN38" s="17"/>
      <c r="AO38" s="35">
        <f t="shared" si="3"/>
        <v>0</v>
      </c>
      <c r="AP38" s="40"/>
      <c r="AQ38" s="17">
        <v>0</v>
      </c>
      <c r="AR38" s="17"/>
      <c r="AS38" s="17">
        <v>0</v>
      </c>
      <c r="AT38" s="17"/>
      <c r="AU38" s="35">
        <f t="shared" si="4"/>
        <v>0</v>
      </c>
      <c r="AV38" s="17"/>
      <c r="AW38" s="81" t="s">
        <v>34</v>
      </c>
      <c r="AX38" s="17"/>
      <c r="AY38" s="24">
        <v>0</v>
      </c>
      <c r="AZ38" s="17"/>
      <c r="BA38" s="24">
        <v>0</v>
      </c>
      <c r="BB38" s="17"/>
      <c r="BC38" s="24">
        <v>0</v>
      </c>
      <c r="BD38" s="17"/>
      <c r="BE38" s="24">
        <v>0</v>
      </c>
      <c r="BF38" s="17"/>
      <c r="BG38" s="35">
        <f t="shared" si="13"/>
        <v>0</v>
      </c>
      <c r="BH38" s="79"/>
    </row>
    <row r="39" spans="1:60" ht="12.75" customHeight="1" hidden="1">
      <c r="A39" s="77" t="s">
        <v>35</v>
      </c>
      <c r="B39" s="96"/>
      <c r="C39" s="35">
        <f t="shared" si="12"/>
        <v>0</v>
      </c>
      <c r="D39" s="35"/>
      <c r="E39" s="24">
        <v>0</v>
      </c>
      <c r="F39" s="35"/>
      <c r="G39" s="24">
        <v>0</v>
      </c>
      <c r="H39" s="35"/>
      <c r="I39" s="35">
        <f t="shared" si="0"/>
        <v>0</v>
      </c>
      <c r="J39" s="35"/>
      <c r="K39" s="24">
        <v>0</v>
      </c>
      <c r="L39" s="35"/>
      <c r="M39" s="24">
        <v>0</v>
      </c>
      <c r="N39" s="35"/>
      <c r="O39" s="24">
        <v>0</v>
      </c>
      <c r="P39" s="35"/>
      <c r="Q39" s="24">
        <v>0</v>
      </c>
      <c r="R39" s="35"/>
      <c r="S39" s="24">
        <v>0</v>
      </c>
      <c r="T39" s="35"/>
      <c r="U39" s="35">
        <f t="shared" si="1"/>
        <v>0</v>
      </c>
      <c r="V39" s="96"/>
      <c r="W39" s="81" t="s">
        <v>35</v>
      </c>
      <c r="X39" s="96"/>
      <c r="Y39" s="24">
        <v>0</v>
      </c>
      <c r="Z39" s="17"/>
      <c r="AA39" s="24">
        <v>0</v>
      </c>
      <c r="AB39" s="17"/>
      <c r="AC39" s="24">
        <v>0</v>
      </c>
      <c r="AD39" s="17"/>
      <c r="AE39" s="35">
        <f t="shared" si="2"/>
        <v>0</v>
      </c>
      <c r="AF39" s="40"/>
      <c r="AG39" s="24">
        <v>0</v>
      </c>
      <c r="AH39" s="40"/>
      <c r="AI39" s="24">
        <v>0</v>
      </c>
      <c r="AJ39" s="17"/>
      <c r="AK39" s="24">
        <v>0</v>
      </c>
      <c r="AL39" s="17"/>
      <c r="AM39" s="24">
        <v>0</v>
      </c>
      <c r="AN39" s="17"/>
      <c r="AO39" s="35">
        <f t="shared" si="3"/>
        <v>0</v>
      </c>
      <c r="AP39" s="40"/>
      <c r="AQ39" s="17">
        <v>0</v>
      </c>
      <c r="AR39" s="17"/>
      <c r="AS39" s="17">
        <v>0</v>
      </c>
      <c r="AT39" s="17"/>
      <c r="AU39" s="35">
        <f t="shared" si="4"/>
        <v>0</v>
      </c>
      <c r="AV39" s="96"/>
      <c r="AW39" s="81" t="s">
        <v>35</v>
      </c>
      <c r="AX39" s="96"/>
      <c r="AY39" s="24">
        <v>0</v>
      </c>
      <c r="AZ39" s="17"/>
      <c r="BA39" s="24">
        <v>0</v>
      </c>
      <c r="BB39" s="17"/>
      <c r="BC39" s="24">
        <v>0</v>
      </c>
      <c r="BD39" s="17"/>
      <c r="BE39" s="24">
        <v>0</v>
      </c>
      <c r="BF39" s="17"/>
      <c r="BG39" s="35">
        <f t="shared" si="13"/>
        <v>0</v>
      </c>
      <c r="BH39" s="79"/>
    </row>
    <row r="40" spans="1:60" ht="12.75" customHeight="1" hidden="1">
      <c r="A40" s="77" t="s">
        <v>226</v>
      </c>
      <c r="B40" s="96"/>
      <c r="C40" s="35">
        <f t="shared" si="12"/>
        <v>0</v>
      </c>
      <c r="D40" s="35"/>
      <c r="E40" s="24">
        <v>0</v>
      </c>
      <c r="F40" s="35"/>
      <c r="G40" s="24">
        <v>0</v>
      </c>
      <c r="H40" s="35"/>
      <c r="I40" s="35">
        <f t="shared" si="0"/>
        <v>0</v>
      </c>
      <c r="J40" s="35"/>
      <c r="K40" s="24">
        <v>0</v>
      </c>
      <c r="L40" s="35"/>
      <c r="M40" s="24">
        <v>0</v>
      </c>
      <c r="N40" s="35"/>
      <c r="O40" s="24">
        <v>0</v>
      </c>
      <c r="P40" s="35"/>
      <c r="Q40" s="24">
        <v>0</v>
      </c>
      <c r="R40" s="35"/>
      <c r="S40" s="24">
        <v>0</v>
      </c>
      <c r="T40" s="35"/>
      <c r="U40" s="35">
        <f t="shared" si="1"/>
        <v>0</v>
      </c>
      <c r="V40" s="96"/>
      <c r="W40" s="81" t="s">
        <v>226</v>
      </c>
      <c r="X40" s="96"/>
      <c r="Y40" s="24">
        <v>0</v>
      </c>
      <c r="Z40" s="17"/>
      <c r="AA40" s="24">
        <v>0</v>
      </c>
      <c r="AB40" s="17"/>
      <c r="AC40" s="24">
        <v>0</v>
      </c>
      <c r="AD40" s="17"/>
      <c r="AE40" s="35">
        <f t="shared" si="2"/>
        <v>0</v>
      </c>
      <c r="AF40" s="40"/>
      <c r="AG40" s="24">
        <v>0</v>
      </c>
      <c r="AH40" s="40"/>
      <c r="AI40" s="24">
        <v>0</v>
      </c>
      <c r="AJ40" s="17"/>
      <c r="AK40" s="24">
        <v>0</v>
      </c>
      <c r="AL40" s="17"/>
      <c r="AM40" s="24">
        <v>0</v>
      </c>
      <c r="AN40" s="17"/>
      <c r="AO40" s="35">
        <f t="shared" si="3"/>
        <v>0</v>
      </c>
      <c r="AP40" s="40"/>
      <c r="AQ40" s="17">
        <v>0</v>
      </c>
      <c r="AR40" s="17"/>
      <c r="AS40" s="17">
        <v>0</v>
      </c>
      <c r="AT40" s="17"/>
      <c r="AU40" s="35">
        <f t="shared" si="4"/>
        <v>0</v>
      </c>
      <c r="AV40" s="96"/>
      <c r="AW40" s="81" t="s">
        <v>226</v>
      </c>
      <c r="AX40" s="96"/>
      <c r="AY40" s="24">
        <v>0</v>
      </c>
      <c r="AZ40" s="17"/>
      <c r="BA40" s="24">
        <v>0</v>
      </c>
      <c r="BB40" s="17"/>
      <c r="BC40" s="24">
        <v>0</v>
      </c>
      <c r="BD40" s="17"/>
      <c r="BE40" s="24">
        <v>0</v>
      </c>
      <c r="BF40" s="17"/>
      <c r="BG40" s="35">
        <f t="shared" si="13"/>
        <v>0</v>
      </c>
      <c r="BH40" s="79"/>
    </row>
    <row r="41" spans="1:60" ht="12.75" customHeight="1" hidden="1">
      <c r="A41" s="77" t="s">
        <v>244</v>
      </c>
      <c r="B41" s="96"/>
      <c r="C41" s="35">
        <f t="shared" si="12"/>
        <v>0</v>
      </c>
      <c r="D41" s="35"/>
      <c r="E41" s="24">
        <v>0</v>
      </c>
      <c r="F41" s="35"/>
      <c r="G41" s="24">
        <v>0</v>
      </c>
      <c r="H41" s="35"/>
      <c r="I41" s="35">
        <f t="shared" si="0"/>
        <v>0</v>
      </c>
      <c r="J41" s="35"/>
      <c r="K41" s="24">
        <v>0</v>
      </c>
      <c r="L41" s="35"/>
      <c r="M41" s="24">
        <v>0</v>
      </c>
      <c r="N41" s="35"/>
      <c r="O41" s="24">
        <v>0</v>
      </c>
      <c r="P41" s="35"/>
      <c r="Q41" s="24">
        <v>0</v>
      </c>
      <c r="R41" s="35"/>
      <c r="S41" s="24">
        <v>0</v>
      </c>
      <c r="T41" s="35"/>
      <c r="U41" s="35">
        <f t="shared" si="1"/>
        <v>0</v>
      </c>
      <c r="V41" s="96"/>
      <c r="W41" s="81" t="s">
        <v>36</v>
      </c>
      <c r="X41" s="96"/>
      <c r="Y41" s="24">
        <v>0</v>
      </c>
      <c r="Z41" s="17"/>
      <c r="AA41" s="24">
        <v>0</v>
      </c>
      <c r="AB41" s="17"/>
      <c r="AC41" s="24">
        <v>0</v>
      </c>
      <c r="AD41" s="17"/>
      <c r="AE41" s="35">
        <f t="shared" si="2"/>
        <v>0</v>
      </c>
      <c r="AF41" s="40"/>
      <c r="AG41" s="24">
        <v>0</v>
      </c>
      <c r="AH41" s="40"/>
      <c r="AI41" s="24">
        <v>0</v>
      </c>
      <c r="AJ41" s="17"/>
      <c r="AK41" s="24">
        <v>0</v>
      </c>
      <c r="AL41" s="17"/>
      <c r="AM41" s="24">
        <v>0</v>
      </c>
      <c r="AN41" s="17"/>
      <c r="AO41" s="35">
        <f t="shared" si="3"/>
        <v>0</v>
      </c>
      <c r="AP41" s="40"/>
      <c r="AQ41" s="17">
        <v>0</v>
      </c>
      <c r="AR41" s="17"/>
      <c r="AS41" s="17">
        <v>0</v>
      </c>
      <c r="AT41" s="17"/>
      <c r="AU41" s="35">
        <f t="shared" si="4"/>
        <v>0</v>
      </c>
      <c r="AV41" s="96"/>
      <c r="AW41" s="81" t="s">
        <v>36</v>
      </c>
      <c r="AX41" s="96"/>
      <c r="AY41" s="24">
        <v>0</v>
      </c>
      <c r="AZ41" s="17"/>
      <c r="BA41" s="24">
        <v>0</v>
      </c>
      <c r="BB41" s="17"/>
      <c r="BC41" s="24">
        <v>0</v>
      </c>
      <c r="BD41" s="17"/>
      <c r="BE41" s="24">
        <v>0</v>
      </c>
      <c r="BF41" s="17"/>
      <c r="BG41" s="35">
        <f t="shared" si="13"/>
        <v>0</v>
      </c>
      <c r="BH41" s="79"/>
    </row>
    <row r="42" spans="1:60" ht="12.75" customHeight="1" hidden="1">
      <c r="A42" s="77" t="s">
        <v>245</v>
      </c>
      <c r="B42" s="96"/>
      <c r="C42" s="35">
        <f t="shared" si="12"/>
        <v>0</v>
      </c>
      <c r="D42" s="35"/>
      <c r="E42" s="24">
        <v>0</v>
      </c>
      <c r="F42" s="35"/>
      <c r="G42" s="24">
        <v>0</v>
      </c>
      <c r="H42" s="35"/>
      <c r="I42" s="35">
        <f t="shared" si="0"/>
        <v>0</v>
      </c>
      <c r="J42" s="35"/>
      <c r="K42" s="24">
        <v>0</v>
      </c>
      <c r="L42" s="35"/>
      <c r="M42" s="24">
        <v>0</v>
      </c>
      <c r="N42" s="35"/>
      <c r="O42" s="24">
        <v>0</v>
      </c>
      <c r="P42" s="35"/>
      <c r="Q42" s="24">
        <v>0</v>
      </c>
      <c r="R42" s="35"/>
      <c r="S42" s="24">
        <v>0</v>
      </c>
      <c r="T42" s="35"/>
      <c r="U42" s="35">
        <f t="shared" si="1"/>
        <v>0</v>
      </c>
      <c r="V42" s="96"/>
      <c r="W42" s="81" t="s">
        <v>37</v>
      </c>
      <c r="X42" s="96"/>
      <c r="Y42" s="24">
        <v>0</v>
      </c>
      <c r="Z42" s="17"/>
      <c r="AA42" s="24">
        <v>0</v>
      </c>
      <c r="AB42" s="17"/>
      <c r="AC42" s="24">
        <v>0</v>
      </c>
      <c r="AD42" s="17"/>
      <c r="AE42" s="35">
        <f t="shared" si="2"/>
        <v>0</v>
      </c>
      <c r="AF42" s="40"/>
      <c r="AG42" s="24">
        <v>0</v>
      </c>
      <c r="AH42" s="40"/>
      <c r="AI42" s="24">
        <v>0</v>
      </c>
      <c r="AJ42" s="17"/>
      <c r="AK42" s="24">
        <v>0</v>
      </c>
      <c r="AL42" s="17"/>
      <c r="AM42" s="24">
        <v>0</v>
      </c>
      <c r="AN42" s="17"/>
      <c r="AO42" s="35">
        <f t="shared" si="3"/>
        <v>0</v>
      </c>
      <c r="AP42" s="40"/>
      <c r="AQ42" s="17">
        <v>0</v>
      </c>
      <c r="AR42" s="17"/>
      <c r="AS42" s="17">
        <v>0</v>
      </c>
      <c r="AT42" s="17"/>
      <c r="AU42" s="35">
        <f t="shared" si="4"/>
        <v>0</v>
      </c>
      <c r="AV42" s="96"/>
      <c r="AW42" s="81" t="s">
        <v>37</v>
      </c>
      <c r="AX42" s="96"/>
      <c r="AY42" s="24">
        <v>0</v>
      </c>
      <c r="AZ42" s="17"/>
      <c r="BA42" s="24">
        <v>0</v>
      </c>
      <c r="BB42" s="17"/>
      <c r="BC42" s="24">
        <v>0</v>
      </c>
      <c r="BD42" s="17"/>
      <c r="BE42" s="24">
        <v>0</v>
      </c>
      <c r="BF42" s="17"/>
      <c r="BG42" s="35">
        <f t="shared" si="13"/>
        <v>0</v>
      </c>
      <c r="BH42" s="79"/>
    </row>
    <row r="43" spans="1:60" ht="12.75">
      <c r="A43" s="77" t="s">
        <v>38</v>
      </c>
      <c r="B43" s="96"/>
      <c r="C43" s="35">
        <f t="shared" si="12"/>
        <v>2620648</v>
      </c>
      <c r="D43" s="35"/>
      <c r="E43" s="24">
        <v>13922397</v>
      </c>
      <c r="F43" s="35"/>
      <c r="G43" s="24">
        <v>16543045</v>
      </c>
      <c r="H43" s="35"/>
      <c r="I43" s="35">
        <f t="shared" si="0"/>
        <v>560951</v>
      </c>
      <c r="J43" s="35"/>
      <c r="K43" s="24">
        <v>5907139</v>
      </c>
      <c r="L43" s="35"/>
      <c r="M43" s="24">
        <v>6468090</v>
      </c>
      <c r="N43" s="35"/>
      <c r="O43" s="24">
        <v>4910891</v>
      </c>
      <c r="P43" s="35"/>
      <c r="Q43" s="24">
        <v>2981621</v>
      </c>
      <c r="R43" s="35"/>
      <c r="S43" s="24">
        <v>2182443</v>
      </c>
      <c r="T43" s="35"/>
      <c r="U43" s="35">
        <f t="shared" si="1"/>
        <v>10074955</v>
      </c>
      <c r="V43" s="35"/>
      <c r="W43" s="81" t="s">
        <v>38</v>
      </c>
      <c r="X43" s="35"/>
      <c r="Y43" s="24">
        <v>5079060</v>
      </c>
      <c r="Z43" s="17"/>
      <c r="AA43" s="24">
        <f>3284365-379529</f>
        <v>2904836</v>
      </c>
      <c r="AB43" s="17"/>
      <c r="AC43" s="24">
        <v>379529</v>
      </c>
      <c r="AD43" s="17"/>
      <c r="AE43" s="35">
        <f t="shared" si="2"/>
        <v>1794695</v>
      </c>
      <c r="AF43" s="40"/>
      <c r="AG43" s="24">
        <v>90489</v>
      </c>
      <c r="AH43" s="40"/>
      <c r="AI43" s="24">
        <v>0</v>
      </c>
      <c r="AJ43" s="17"/>
      <c r="AK43" s="24">
        <v>0</v>
      </c>
      <c r="AL43" s="17"/>
      <c r="AM43" s="24">
        <v>0</v>
      </c>
      <c r="AN43" s="17"/>
      <c r="AO43" s="35">
        <f t="shared" si="3"/>
        <v>1885184</v>
      </c>
      <c r="AP43" s="40"/>
      <c r="AQ43" s="17">
        <v>0</v>
      </c>
      <c r="AR43" s="17"/>
      <c r="AS43" s="17">
        <v>0</v>
      </c>
      <c r="AT43" s="17"/>
      <c r="AU43" s="35">
        <f t="shared" si="4"/>
        <v>2059697</v>
      </c>
      <c r="AV43" s="17"/>
      <c r="AW43" s="81" t="s">
        <v>38</v>
      </c>
      <c r="AX43" s="17"/>
      <c r="AY43" s="24">
        <v>2107493</v>
      </c>
      <c r="AZ43" s="17"/>
      <c r="BA43" s="24">
        <v>0</v>
      </c>
      <c r="BB43" s="17"/>
      <c r="BC43" s="24">
        <v>0</v>
      </c>
      <c r="BD43" s="17"/>
      <c r="BE43" s="24">
        <f>138724+3660922</f>
        <v>3799646</v>
      </c>
      <c r="BF43" s="17"/>
      <c r="BG43" s="35">
        <f t="shared" si="13"/>
        <v>5907139</v>
      </c>
      <c r="BH43" s="79"/>
    </row>
    <row r="44" spans="1:60" ht="12.75" customHeight="1" hidden="1">
      <c r="A44" s="77" t="s">
        <v>168</v>
      </c>
      <c r="B44" s="96"/>
      <c r="C44" s="35">
        <f t="shared" si="12"/>
        <v>0</v>
      </c>
      <c r="D44" s="35"/>
      <c r="E44" s="24">
        <v>0</v>
      </c>
      <c r="F44" s="35"/>
      <c r="G44" s="24">
        <v>0</v>
      </c>
      <c r="H44" s="35"/>
      <c r="I44" s="35">
        <f t="shared" si="0"/>
        <v>0</v>
      </c>
      <c r="J44" s="35"/>
      <c r="K44" s="24">
        <v>0</v>
      </c>
      <c r="L44" s="35"/>
      <c r="M44" s="24">
        <v>0</v>
      </c>
      <c r="N44" s="35"/>
      <c r="O44" s="24">
        <v>0</v>
      </c>
      <c r="P44" s="35"/>
      <c r="Q44" s="24">
        <v>0</v>
      </c>
      <c r="R44" s="35"/>
      <c r="S44" s="24">
        <v>0</v>
      </c>
      <c r="T44" s="35"/>
      <c r="U44" s="35">
        <f t="shared" si="1"/>
        <v>0</v>
      </c>
      <c r="V44" s="96"/>
      <c r="W44" s="81" t="s">
        <v>168</v>
      </c>
      <c r="X44" s="96"/>
      <c r="Y44" s="24">
        <v>0</v>
      </c>
      <c r="Z44" s="17"/>
      <c r="AA44" s="24">
        <v>0</v>
      </c>
      <c r="AB44" s="17"/>
      <c r="AC44" s="24">
        <v>0</v>
      </c>
      <c r="AD44" s="17"/>
      <c r="AE44" s="35">
        <f t="shared" si="2"/>
        <v>0</v>
      </c>
      <c r="AF44" s="40"/>
      <c r="AG44" s="24">
        <v>0</v>
      </c>
      <c r="AH44" s="40"/>
      <c r="AI44" s="24">
        <v>0</v>
      </c>
      <c r="AJ44" s="17"/>
      <c r="AK44" s="24">
        <v>0</v>
      </c>
      <c r="AL44" s="17"/>
      <c r="AM44" s="24">
        <v>0</v>
      </c>
      <c r="AN44" s="17"/>
      <c r="AO44" s="35">
        <f t="shared" si="3"/>
        <v>0</v>
      </c>
      <c r="AP44" s="40"/>
      <c r="AQ44" s="17">
        <v>0</v>
      </c>
      <c r="AR44" s="17"/>
      <c r="AS44" s="17">
        <v>0</v>
      </c>
      <c r="AT44" s="17"/>
      <c r="AU44" s="35">
        <f t="shared" si="4"/>
        <v>0</v>
      </c>
      <c r="AV44" s="96"/>
      <c r="AW44" s="81" t="s">
        <v>168</v>
      </c>
      <c r="AX44" s="96"/>
      <c r="AY44" s="24">
        <v>0</v>
      </c>
      <c r="AZ44" s="17"/>
      <c r="BA44" s="24">
        <v>0</v>
      </c>
      <c r="BB44" s="17"/>
      <c r="BC44" s="24">
        <v>0</v>
      </c>
      <c r="BD44" s="17"/>
      <c r="BE44" s="24">
        <v>0</v>
      </c>
      <c r="BF44" s="17"/>
      <c r="BG44" s="35">
        <f t="shared" si="13"/>
        <v>0</v>
      </c>
      <c r="BH44" s="79"/>
    </row>
    <row r="45" spans="1:60" ht="12.75" customHeight="1" hidden="1">
      <c r="A45" s="77" t="s">
        <v>39</v>
      </c>
      <c r="B45" s="96"/>
      <c r="C45" s="35">
        <f t="shared" si="12"/>
        <v>0</v>
      </c>
      <c r="D45" s="35"/>
      <c r="E45" s="24">
        <v>0</v>
      </c>
      <c r="F45" s="35"/>
      <c r="G45" s="24">
        <v>0</v>
      </c>
      <c r="H45" s="35"/>
      <c r="I45" s="35">
        <f t="shared" si="0"/>
        <v>0</v>
      </c>
      <c r="J45" s="35"/>
      <c r="K45" s="24">
        <v>0</v>
      </c>
      <c r="L45" s="35"/>
      <c r="M45" s="24">
        <v>0</v>
      </c>
      <c r="N45" s="35"/>
      <c r="O45" s="24">
        <v>0</v>
      </c>
      <c r="P45" s="35"/>
      <c r="Q45" s="24">
        <v>0</v>
      </c>
      <c r="R45" s="35"/>
      <c r="S45" s="24">
        <v>0</v>
      </c>
      <c r="T45" s="35"/>
      <c r="U45" s="35">
        <f t="shared" si="1"/>
        <v>0</v>
      </c>
      <c r="V45" s="96"/>
      <c r="W45" s="81" t="s">
        <v>39</v>
      </c>
      <c r="X45" s="96"/>
      <c r="Y45" s="24">
        <v>0</v>
      </c>
      <c r="Z45" s="17"/>
      <c r="AA45" s="24">
        <v>0</v>
      </c>
      <c r="AB45" s="17"/>
      <c r="AC45" s="24">
        <v>0</v>
      </c>
      <c r="AD45" s="17"/>
      <c r="AE45" s="35">
        <f t="shared" si="2"/>
        <v>0</v>
      </c>
      <c r="AF45" s="40"/>
      <c r="AG45" s="24">
        <v>0</v>
      </c>
      <c r="AH45" s="40"/>
      <c r="AI45" s="24">
        <v>0</v>
      </c>
      <c r="AJ45" s="17"/>
      <c r="AK45" s="24">
        <v>0</v>
      </c>
      <c r="AL45" s="17"/>
      <c r="AM45" s="24">
        <v>0</v>
      </c>
      <c r="AN45" s="17"/>
      <c r="AO45" s="35">
        <f t="shared" si="3"/>
        <v>0</v>
      </c>
      <c r="AP45" s="40"/>
      <c r="AQ45" s="17">
        <v>0</v>
      </c>
      <c r="AR45" s="17"/>
      <c r="AS45" s="17">
        <v>0</v>
      </c>
      <c r="AT45" s="17"/>
      <c r="AU45" s="35">
        <f t="shared" si="4"/>
        <v>0</v>
      </c>
      <c r="AV45" s="96"/>
      <c r="AW45" s="81" t="s">
        <v>39</v>
      </c>
      <c r="AX45" s="96"/>
      <c r="AY45" s="24">
        <v>0</v>
      </c>
      <c r="AZ45" s="17"/>
      <c r="BA45" s="24">
        <v>0</v>
      </c>
      <c r="BB45" s="17"/>
      <c r="BC45" s="24">
        <v>0</v>
      </c>
      <c r="BD45" s="17"/>
      <c r="BE45" s="24">
        <v>0</v>
      </c>
      <c r="BF45" s="17"/>
      <c r="BG45" s="35">
        <f t="shared" si="13"/>
        <v>0</v>
      </c>
      <c r="BH45" s="79"/>
    </row>
    <row r="46" spans="1:60" ht="12.75">
      <c r="A46" s="77" t="s">
        <v>40</v>
      </c>
      <c r="B46" s="96"/>
      <c r="C46" s="35">
        <f t="shared" si="12"/>
        <v>1529531</v>
      </c>
      <c r="D46" s="35"/>
      <c r="E46" s="24">
        <v>1060411</v>
      </c>
      <c r="F46" s="35"/>
      <c r="G46" s="24">
        <v>2589942</v>
      </c>
      <c r="H46" s="35"/>
      <c r="I46" s="35">
        <f t="shared" si="0"/>
        <v>180218</v>
      </c>
      <c r="J46" s="35"/>
      <c r="K46" s="24">
        <v>2850022</v>
      </c>
      <c r="L46" s="35"/>
      <c r="M46" s="24">
        <v>3030240</v>
      </c>
      <c r="N46" s="35"/>
      <c r="O46" s="24">
        <v>1060411</v>
      </c>
      <c r="P46" s="35"/>
      <c r="Q46" s="24">
        <v>0</v>
      </c>
      <c r="R46" s="35"/>
      <c r="S46" s="24">
        <v>-1500709</v>
      </c>
      <c r="T46" s="35"/>
      <c r="U46" s="35">
        <f t="shared" si="1"/>
        <v>-440298</v>
      </c>
      <c r="V46" s="35"/>
      <c r="W46" s="81" t="s">
        <v>40</v>
      </c>
      <c r="X46" s="35"/>
      <c r="Y46" s="24">
        <v>838578</v>
      </c>
      <c r="Z46" s="17"/>
      <c r="AA46" s="24">
        <f>856529-33145</f>
        <v>823384</v>
      </c>
      <c r="AB46" s="17"/>
      <c r="AC46" s="24">
        <v>33145</v>
      </c>
      <c r="AD46" s="17"/>
      <c r="AE46" s="35">
        <f t="shared" si="2"/>
        <v>-17951</v>
      </c>
      <c r="AF46" s="40"/>
      <c r="AG46" s="24">
        <v>11808</v>
      </c>
      <c r="AH46" s="40"/>
      <c r="AI46" s="24">
        <v>0</v>
      </c>
      <c r="AJ46" s="17"/>
      <c r="AK46" s="24">
        <v>0</v>
      </c>
      <c r="AL46" s="17"/>
      <c r="AM46" s="24">
        <v>0</v>
      </c>
      <c r="AN46" s="17"/>
      <c r="AO46" s="35">
        <f t="shared" si="3"/>
        <v>-6143</v>
      </c>
      <c r="AP46" s="40"/>
      <c r="AQ46" s="17">
        <v>0</v>
      </c>
      <c r="AR46" s="17"/>
      <c r="AS46" s="17">
        <v>0</v>
      </c>
      <c r="AT46" s="17"/>
      <c r="AU46" s="35">
        <f t="shared" si="4"/>
        <v>1349313</v>
      </c>
      <c r="AV46" s="17"/>
      <c r="AW46" s="81" t="s">
        <v>40</v>
      </c>
      <c r="AX46" s="17"/>
      <c r="AY46" s="24">
        <v>0</v>
      </c>
      <c r="AZ46" s="17"/>
      <c r="BA46" s="24">
        <v>0</v>
      </c>
      <c r="BB46" s="17"/>
      <c r="BC46" s="24">
        <v>0</v>
      </c>
      <c r="BD46" s="17"/>
      <c r="BE46" s="24">
        <f>25161+2824861</f>
        <v>2850022</v>
      </c>
      <c r="BF46" s="17"/>
      <c r="BG46" s="35">
        <f t="shared" si="13"/>
        <v>2850022</v>
      </c>
      <c r="BH46" s="83"/>
    </row>
    <row r="47" spans="1:60" ht="12.75" hidden="1">
      <c r="A47" s="77" t="s">
        <v>41</v>
      </c>
      <c r="B47" s="96"/>
      <c r="C47" s="35">
        <f t="shared" si="12"/>
        <v>0</v>
      </c>
      <c r="D47" s="35"/>
      <c r="E47" s="24">
        <v>0</v>
      </c>
      <c r="F47" s="35"/>
      <c r="G47" s="24">
        <v>0</v>
      </c>
      <c r="H47" s="35"/>
      <c r="I47" s="35">
        <f t="shared" si="0"/>
        <v>0</v>
      </c>
      <c r="J47" s="35"/>
      <c r="K47" s="24">
        <v>0</v>
      </c>
      <c r="L47" s="35"/>
      <c r="M47" s="24">
        <v>0</v>
      </c>
      <c r="N47" s="35"/>
      <c r="O47" s="24">
        <v>0</v>
      </c>
      <c r="P47" s="35"/>
      <c r="Q47" s="24">
        <v>0</v>
      </c>
      <c r="R47" s="35"/>
      <c r="S47" s="24">
        <v>0</v>
      </c>
      <c r="T47" s="35"/>
      <c r="U47" s="35">
        <f t="shared" si="1"/>
        <v>0</v>
      </c>
      <c r="V47" s="96"/>
      <c r="W47" s="81" t="s">
        <v>41</v>
      </c>
      <c r="X47" s="96"/>
      <c r="Y47" s="24">
        <v>0</v>
      </c>
      <c r="Z47" s="17"/>
      <c r="AA47" s="24">
        <v>0</v>
      </c>
      <c r="AB47" s="17"/>
      <c r="AC47" s="24">
        <v>0</v>
      </c>
      <c r="AD47" s="17"/>
      <c r="AE47" s="35">
        <f t="shared" si="2"/>
        <v>0</v>
      </c>
      <c r="AF47" s="40"/>
      <c r="AG47" s="24">
        <v>0</v>
      </c>
      <c r="AH47" s="40"/>
      <c r="AI47" s="24">
        <v>0</v>
      </c>
      <c r="AJ47" s="17"/>
      <c r="AK47" s="24">
        <v>0</v>
      </c>
      <c r="AL47" s="17"/>
      <c r="AM47" s="24">
        <v>0</v>
      </c>
      <c r="AN47" s="17"/>
      <c r="AO47" s="35">
        <f t="shared" si="3"/>
        <v>0</v>
      </c>
      <c r="AP47" s="40"/>
      <c r="AQ47" s="17">
        <v>0</v>
      </c>
      <c r="AR47" s="17"/>
      <c r="AS47" s="17">
        <v>0</v>
      </c>
      <c r="AT47" s="17"/>
      <c r="AU47" s="35">
        <f t="shared" si="4"/>
        <v>0</v>
      </c>
      <c r="AV47" s="96"/>
      <c r="AW47" s="81" t="s">
        <v>41</v>
      </c>
      <c r="AX47" s="96"/>
      <c r="AY47" s="24">
        <v>0</v>
      </c>
      <c r="AZ47" s="17"/>
      <c r="BA47" s="24">
        <v>0</v>
      </c>
      <c r="BB47" s="17"/>
      <c r="BC47" s="24">
        <v>0</v>
      </c>
      <c r="BD47" s="17"/>
      <c r="BE47" s="24">
        <v>0</v>
      </c>
      <c r="BF47" s="17"/>
      <c r="BG47" s="35">
        <f t="shared" si="13"/>
        <v>0</v>
      </c>
      <c r="BH47" s="79"/>
    </row>
    <row r="48" spans="1:60" ht="12.75" hidden="1">
      <c r="A48" s="77" t="s">
        <v>42</v>
      </c>
      <c r="B48" s="96"/>
      <c r="C48" s="35">
        <f t="shared" si="12"/>
        <v>0</v>
      </c>
      <c r="D48" s="35"/>
      <c r="E48" s="24">
        <v>0</v>
      </c>
      <c r="F48" s="35"/>
      <c r="G48" s="24">
        <v>0</v>
      </c>
      <c r="H48" s="35"/>
      <c r="I48" s="35">
        <f t="shared" si="0"/>
        <v>0</v>
      </c>
      <c r="J48" s="35"/>
      <c r="K48" s="24">
        <v>0</v>
      </c>
      <c r="L48" s="35"/>
      <c r="M48" s="24">
        <v>0</v>
      </c>
      <c r="N48" s="35"/>
      <c r="O48" s="24">
        <v>0</v>
      </c>
      <c r="P48" s="35"/>
      <c r="Q48" s="24">
        <v>0</v>
      </c>
      <c r="R48" s="35"/>
      <c r="S48" s="24">
        <v>0</v>
      </c>
      <c r="T48" s="35"/>
      <c r="U48" s="35">
        <f t="shared" si="1"/>
        <v>0</v>
      </c>
      <c r="V48" s="35"/>
      <c r="W48" s="81" t="s">
        <v>42</v>
      </c>
      <c r="X48" s="35"/>
      <c r="Y48" s="24">
        <v>0</v>
      </c>
      <c r="Z48" s="17"/>
      <c r="AA48" s="24">
        <v>0</v>
      </c>
      <c r="AB48" s="17"/>
      <c r="AC48" s="24">
        <v>0</v>
      </c>
      <c r="AD48" s="17"/>
      <c r="AE48" s="35">
        <f t="shared" si="2"/>
        <v>0</v>
      </c>
      <c r="AF48" s="40"/>
      <c r="AG48" s="24">
        <v>0</v>
      </c>
      <c r="AH48" s="40"/>
      <c r="AI48" s="24">
        <v>0</v>
      </c>
      <c r="AJ48" s="17"/>
      <c r="AK48" s="24">
        <v>0</v>
      </c>
      <c r="AL48" s="17"/>
      <c r="AM48" s="24">
        <v>0</v>
      </c>
      <c r="AN48" s="17"/>
      <c r="AO48" s="35">
        <f t="shared" si="3"/>
        <v>0</v>
      </c>
      <c r="AP48" s="40"/>
      <c r="AQ48" s="17">
        <v>0</v>
      </c>
      <c r="AR48" s="17"/>
      <c r="AS48" s="17">
        <v>0</v>
      </c>
      <c r="AT48" s="17"/>
      <c r="AU48" s="35">
        <f t="shared" si="4"/>
        <v>0</v>
      </c>
      <c r="AV48" s="17"/>
      <c r="AW48" s="81" t="s">
        <v>42</v>
      </c>
      <c r="AX48" s="17"/>
      <c r="AY48" s="24">
        <v>0</v>
      </c>
      <c r="AZ48" s="17"/>
      <c r="BA48" s="24">
        <v>0</v>
      </c>
      <c r="BB48" s="17"/>
      <c r="BC48" s="24">
        <v>0</v>
      </c>
      <c r="BD48" s="17"/>
      <c r="BE48" s="24">
        <v>0</v>
      </c>
      <c r="BF48" s="17"/>
      <c r="BG48" s="35">
        <f t="shared" si="13"/>
        <v>0</v>
      </c>
      <c r="BH48" s="79"/>
    </row>
    <row r="49" spans="1:60" ht="12.75">
      <c r="A49" s="77" t="s">
        <v>43</v>
      </c>
      <c r="B49" s="96"/>
      <c r="C49" s="35">
        <f t="shared" si="12"/>
        <v>7771</v>
      </c>
      <c r="D49" s="35"/>
      <c r="E49" s="24">
        <v>368540</v>
      </c>
      <c r="F49" s="35"/>
      <c r="G49" s="24">
        <v>376311</v>
      </c>
      <c r="H49" s="35"/>
      <c r="I49" s="35">
        <f t="shared" si="0"/>
        <v>58552</v>
      </c>
      <c r="J49" s="35"/>
      <c r="K49" s="24">
        <v>4943761</v>
      </c>
      <c r="L49" s="35"/>
      <c r="M49" s="24">
        <v>5002313</v>
      </c>
      <c r="N49" s="35"/>
      <c r="O49" s="24">
        <v>368540</v>
      </c>
      <c r="P49" s="35"/>
      <c r="Q49" s="24">
        <v>0</v>
      </c>
      <c r="R49" s="35"/>
      <c r="S49" s="24">
        <v>-4994542</v>
      </c>
      <c r="T49" s="35"/>
      <c r="U49" s="35">
        <f t="shared" si="1"/>
        <v>-4626002</v>
      </c>
      <c r="V49" s="35"/>
      <c r="W49" s="81" t="s">
        <v>43</v>
      </c>
      <c r="X49" s="35"/>
      <c r="Y49" s="24">
        <v>0</v>
      </c>
      <c r="Z49" s="17"/>
      <c r="AA49" s="24">
        <f>28288</f>
        <v>28288</v>
      </c>
      <c r="AB49" s="17"/>
      <c r="AC49" s="24">
        <v>0</v>
      </c>
      <c r="AD49" s="17"/>
      <c r="AE49" s="35">
        <f t="shared" si="2"/>
        <v>-28288</v>
      </c>
      <c r="AF49" s="40"/>
      <c r="AG49" s="24">
        <v>0</v>
      </c>
      <c r="AH49" s="40"/>
      <c r="AI49" s="24">
        <v>0</v>
      </c>
      <c r="AJ49" s="17"/>
      <c r="AK49" s="24">
        <v>0</v>
      </c>
      <c r="AL49" s="17"/>
      <c r="AM49" s="24">
        <v>0</v>
      </c>
      <c r="AN49" s="17"/>
      <c r="AO49" s="35">
        <f t="shared" si="3"/>
        <v>-28288</v>
      </c>
      <c r="AP49" s="40"/>
      <c r="AQ49" s="17">
        <v>0</v>
      </c>
      <c r="AR49" s="17"/>
      <c r="AS49" s="17">
        <v>0</v>
      </c>
      <c r="AT49" s="17"/>
      <c r="AU49" s="35">
        <f t="shared" si="4"/>
        <v>-50781</v>
      </c>
      <c r="AV49" s="17"/>
      <c r="AW49" s="81" t="s">
        <v>43</v>
      </c>
      <c r="AX49" s="17"/>
      <c r="AY49" s="24">
        <v>0</v>
      </c>
      <c r="AZ49" s="17"/>
      <c r="BA49" s="24">
        <v>0</v>
      </c>
      <c r="BB49" s="17"/>
      <c r="BC49" s="24">
        <v>0</v>
      </c>
      <c r="BD49" s="17"/>
      <c r="BE49" s="24">
        <v>4943761</v>
      </c>
      <c r="BF49" s="17"/>
      <c r="BG49" s="35">
        <f t="shared" si="13"/>
        <v>4943761</v>
      </c>
      <c r="BH49" s="79"/>
    </row>
    <row r="50" spans="1:60" ht="12.75" hidden="1">
      <c r="A50" s="77" t="s">
        <v>44</v>
      </c>
      <c r="B50" s="96"/>
      <c r="C50" s="155">
        <f t="shared" si="12"/>
        <v>0</v>
      </c>
      <c r="D50" s="155"/>
      <c r="E50" s="24">
        <v>0</v>
      </c>
      <c r="F50" s="155"/>
      <c r="G50" s="24">
        <v>0</v>
      </c>
      <c r="H50" s="155"/>
      <c r="I50" s="155">
        <f t="shared" si="0"/>
        <v>0</v>
      </c>
      <c r="J50" s="155"/>
      <c r="K50" s="24">
        <v>0</v>
      </c>
      <c r="L50" s="155"/>
      <c r="M50" s="24">
        <v>0</v>
      </c>
      <c r="N50" s="155"/>
      <c r="O50" s="24">
        <v>0</v>
      </c>
      <c r="P50" s="155"/>
      <c r="Q50" s="24">
        <v>0</v>
      </c>
      <c r="R50" s="155"/>
      <c r="S50" s="24">
        <v>0</v>
      </c>
      <c r="T50" s="155"/>
      <c r="U50" s="155">
        <f t="shared" si="1"/>
        <v>0</v>
      </c>
      <c r="V50" s="155"/>
      <c r="W50" s="161" t="s">
        <v>44</v>
      </c>
      <c r="X50" s="155"/>
      <c r="Y50" s="24">
        <v>0</v>
      </c>
      <c r="Z50" s="156"/>
      <c r="AA50" s="24">
        <v>0</v>
      </c>
      <c r="AB50" s="156"/>
      <c r="AC50" s="24">
        <v>0</v>
      </c>
      <c r="AD50" s="156"/>
      <c r="AE50" s="155">
        <f t="shared" si="2"/>
        <v>0</v>
      </c>
      <c r="AF50" s="147"/>
      <c r="AG50" s="24">
        <v>0</v>
      </c>
      <c r="AH50" s="147"/>
      <c r="AI50" s="24">
        <v>0</v>
      </c>
      <c r="AJ50" s="156"/>
      <c r="AK50" s="24">
        <v>0</v>
      </c>
      <c r="AL50" s="156"/>
      <c r="AM50" s="24">
        <v>0</v>
      </c>
      <c r="AN50" s="156"/>
      <c r="AO50" s="155">
        <f t="shared" si="3"/>
        <v>0</v>
      </c>
      <c r="AP50" s="147"/>
      <c r="AQ50" s="156">
        <v>0</v>
      </c>
      <c r="AR50" s="156"/>
      <c r="AS50" s="156">
        <v>0</v>
      </c>
      <c r="AT50" s="156"/>
      <c r="AU50" s="155">
        <f t="shared" si="4"/>
        <v>0</v>
      </c>
      <c r="AV50" s="156"/>
      <c r="AW50" s="161" t="s">
        <v>44</v>
      </c>
      <c r="AX50" s="156"/>
      <c r="AY50" s="24">
        <v>0</v>
      </c>
      <c r="AZ50" s="156"/>
      <c r="BA50" s="24">
        <v>0</v>
      </c>
      <c r="BB50" s="156"/>
      <c r="BC50" s="24">
        <v>0</v>
      </c>
      <c r="BD50" s="156"/>
      <c r="BE50" s="24">
        <v>0</v>
      </c>
      <c r="BF50" s="156"/>
      <c r="BG50" s="155">
        <f t="shared" si="13"/>
        <v>0</v>
      </c>
      <c r="BH50" s="79"/>
    </row>
    <row r="51" spans="1:60" ht="12.75" hidden="1">
      <c r="A51" s="77" t="s">
        <v>241</v>
      </c>
      <c r="B51" s="96"/>
      <c r="C51" s="155">
        <f t="shared" si="12"/>
        <v>0</v>
      </c>
      <c r="D51" s="155"/>
      <c r="E51" s="24">
        <v>0</v>
      </c>
      <c r="F51" s="155"/>
      <c r="G51" s="24">
        <v>0</v>
      </c>
      <c r="H51" s="155"/>
      <c r="I51" s="155">
        <f t="shared" si="0"/>
        <v>0</v>
      </c>
      <c r="J51" s="155"/>
      <c r="K51" s="24">
        <v>0</v>
      </c>
      <c r="L51" s="155"/>
      <c r="M51" s="24">
        <v>0</v>
      </c>
      <c r="N51" s="155"/>
      <c r="O51" s="24">
        <v>0</v>
      </c>
      <c r="P51" s="155"/>
      <c r="Q51" s="24">
        <v>0</v>
      </c>
      <c r="R51" s="155"/>
      <c r="S51" s="24">
        <v>0</v>
      </c>
      <c r="T51" s="155"/>
      <c r="U51" s="155">
        <f t="shared" si="1"/>
        <v>0</v>
      </c>
      <c r="V51" s="102"/>
      <c r="W51" s="161" t="s">
        <v>45</v>
      </c>
      <c r="X51" s="102"/>
      <c r="Y51" s="24">
        <v>0</v>
      </c>
      <c r="Z51" s="156"/>
      <c r="AA51" s="24">
        <v>0</v>
      </c>
      <c r="AB51" s="156"/>
      <c r="AC51" s="24">
        <v>0</v>
      </c>
      <c r="AD51" s="156"/>
      <c r="AE51" s="155">
        <f t="shared" si="2"/>
        <v>0</v>
      </c>
      <c r="AF51" s="147"/>
      <c r="AG51" s="24">
        <v>0</v>
      </c>
      <c r="AH51" s="147"/>
      <c r="AI51" s="24">
        <v>0</v>
      </c>
      <c r="AJ51" s="156"/>
      <c r="AK51" s="24">
        <v>0</v>
      </c>
      <c r="AL51" s="156"/>
      <c r="AM51" s="24">
        <v>0</v>
      </c>
      <c r="AN51" s="156"/>
      <c r="AO51" s="155">
        <f t="shared" si="3"/>
        <v>0</v>
      </c>
      <c r="AP51" s="147"/>
      <c r="AQ51" s="156">
        <v>0</v>
      </c>
      <c r="AR51" s="156"/>
      <c r="AS51" s="156">
        <v>0</v>
      </c>
      <c r="AT51" s="156"/>
      <c r="AU51" s="155">
        <f t="shared" si="4"/>
        <v>0</v>
      </c>
      <c r="AV51" s="102"/>
      <c r="AW51" s="161" t="s">
        <v>45</v>
      </c>
      <c r="AX51" s="102"/>
      <c r="AY51" s="24">
        <v>0</v>
      </c>
      <c r="AZ51" s="156"/>
      <c r="BA51" s="24">
        <v>0</v>
      </c>
      <c r="BB51" s="156"/>
      <c r="BC51" s="24">
        <v>0</v>
      </c>
      <c r="BD51" s="156"/>
      <c r="BE51" s="24">
        <v>0</v>
      </c>
      <c r="BF51" s="156"/>
      <c r="BG51" s="155">
        <f t="shared" si="13"/>
        <v>0</v>
      </c>
      <c r="BH51" s="79"/>
    </row>
    <row r="52" spans="1:60" ht="12.75" hidden="1">
      <c r="A52" s="77" t="s">
        <v>46</v>
      </c>
      <c r="B52" s="96"/>
      <c r="C52" s="155">
        <f t="shared" si="12"/>
        <v>0</v>
      </c>
      <c r="D52" s="155"/>
      <c r="E52" s="24">
        <v>0</v>
      </c>
      <c r="F52" s="155"/>
      <c r="G52" s="24">
        <v>0</v>
      </c>
      <c r="H52" s="155"/>
      <c r="I52" s="155">
        <f t="shared" si="0"/>
        <v>0</v>
      </c>
      <c r="J52" s="155"/>
      <c r="K52" s="24">
        <v>0</v>
      </c>
      <c r="L52" s="155"/>
      <c r="M52" s="24">
        <v>0</v>
      </c>
      <c r="N52" s="155"/>
      <c r="O52" s="24">
        <v>0</v>
      </c>
      <c r="P52" s="155"/>
      <c r="Q52" s="24">
        <v>0</v>
      </c>
      <c r="R52" s="155"/>
      <c r="S52" s="24">
        <v>0</v>
      </c>
      <c r="T52" s="155"/>
      <c r="U52" s="155">
        <f t="shared" si="1"/>
        <v>0</v>
      </c>
      <c r="V52" s="102"/>
      <c r="W52" s="161" t="s">
        <v>46</v>
      </c>
      <c r="X52" s="102"/>
      <c r="Y52" s="24">
        <v>0</v>
      </c>
      <c r="Z52" s="156"/>
      <c r="AA52" s="24">
        <v>0</v>
      </c>
      <c r="AB52" s="156"/>
      <c r="AC52" s="24">
        <v>0</v>
      </c>
      <c r="AD52" s="156"/>
      <c r="AE52" s="155">
        <f t="shared" si="2"/>
        <v>0</v>
      </c>
      <c r="AF52" s="147"/>
      <c r="AG52" s="24">
        <v>0</v>
      </c>
      <c r="AH52" s="147"/>
      <c r="AI52" s="24">
        <v>0</v>
      </c>
      <c r="AJ52" s="156"/>
      <c r="AK52" s="24">
        <v>0</v>
      </c>
      <c r="AL52" s="156"/>
      <c r="AM52" s="24">
        <v>0</v>
      </c>
      <c r="AN52" s="156"/>
      <c r="AO52" s="155">
        <f t="shared" si="3"/>
        <v>0</v>
      </c>
      <c r="AP52" s="147"/>
      <c r="AQ52" s="156">
        <v>0</v>
      </c>
      <c r="AR52" s="156"/>
      <c r="AS52" s="156">
        <v>0</v>
      </c>
      <c r="AT52" s="156"/>
      <c r="AU52" s="155">
        <f t="shared" si="4"/>
        <v>0</v>
      </c>
      <c r="AV52" s="102"/>
      <c r="AW52" s="161" t="s">
        <v>46</v>
      </c>
      <c r="AX52" s="102"/>
      <c r="AY52" s="24">
        <v>0</v>
      </c>
      <c r="AZ52" s="156"/>
      <c r="BA52" s="24">
        <v>0</v>
      </c>
      <c r="BB52" s="156"/>
      <c r="BC52" s="24">
        <v>0</v>
      </c>
      <c r="BD52" s="156"/>
      <c r="BE52" s="24">
        <v>0</v>
      </c>
      <c r="BF52" s="156"/>
      <c r="BG52" s="155">
        <f t="shared" si="13"/>
        <v>0</v>
      </c>
      <c r="BH52" s="79"/>
    </row>
    <row r="53" spans="1:60" ht="12.75">
      <c r="A53" s="77" t="s">
        <v>47</v>
      </c>
      <c r="B53" s="96"/>
      <c r="C53" s="155">
        <f t="shared" si="12"/>
        <v>75940</v>
      </c>
      <c r="D53" s="155"/>
      <c r="E53" s="24">
        <v>143164</v>
      </c>
      <c r="F53" s="155"/>
      <c r="G53" s="24">
        <v>219104</v>
      </c>
      <c r="H53" s="155"/>
      <c r="I53" s="155">
        <f t="shared" si="0"/>
        <v>83475</v>
      </c>
      <c r="J53" s="155"/>
      <c r="K53" s="24">
        <v>1066460</v>
      </c>
      <c r="L53" s="155"/>
      <c r="M53" s="24">
        <v>1149935</v>
      </c>
      <c r="N53" s="155"/>
      <c r="O53" s="24">
        <v>143164</v>
      </c>
      <c r="P53" s="155"/>
      <c r="Q53" s="24">
        <v>0</v>
      </c>
      <c r="R53" s="155"/>
      <c r="S53" s="24">
        <v>-1073995</v>
      </c>
      <c r="T53" s="155"/>
      <c r="U53" s="155">
        <f t="shared" si="1"/>
        <v>-930831</v>
      </c>
      <c r="V53" s="155"/>
      <c r="W53" s="161" t="s">
        <v>47</v>
      </c>
      <c r="X53" s="155"/>
      <c r="Y53" s="24">
        <v>0</v>
      </c>
      <c r="Z53" s="156"/>
      <c r="AA53" s="24">
        <v>0</v>
      </c>
      <c r="AB53" s="156"/>
      <c r="AC53" s="24">
        <v>0</v>
      </c>
      <c r="AD53" s="156"/>
      <c r="AE53" s="155">
        <f t="shared" si="2"/>
        <v>0</v>
      </c>
      <c r="AF53" s="147"/>
      <c r="AG53" s="24">
        <v>127089</v>
      </c>
      <c r="AH53" s="147"/>
      <c r="AI53" s="24">
        <v>90181</v>
      </c>
      <c r="AJ53" s="156"/>
      <c r="AK53" s="24">
        <v>0</v>
      </c>
      <c r="AL53" s="156"/>
      <c r="AM53" s="24">
        <v>0</v>
      </c>
      <c r="AN53" s="156"/>
      <c r="AO53" s="155">
        <f t="shared" si="3"/>
        <v>217270</v>
      </c>
      <c r="AP53" s="147"/>
      <c r="AQ53" s="156">
        <v>0</v>
      </c>
      <c r="AR53" s="156"/>
      <c r="AS53" s="156">
        <v>0</v>
      </c>
      <c r="AT53" s="156"/>
      <c r="AU53" s="155">
        <f t="shared" si="4"/>
        <v>-7535</v>
      </c>
      <c r="AV53" s="156"/>
      <c r="AW53" s="161" t="s">
        <v>47</v>
      </c>
      <c r="AX53" s="156"/>
      <c r="AY53" s="24">
        <v>0</v>
      </c>
      <c r="AZ53" s="156"/>
      <c r="BA53" s="24">
        <v>0</v>
      </c>
      <c r="BB53" s="156"/>
      <c r="BC53" s="24">
        <v>0</v>
      </c>
      <c r="BD53" s="156"/>
      <c r="BE53" s="24">
        <v>1066460</v>
      </c>
      <c r="BF53" s="156"/>
      <c r="BG53" s="155">
        <f t="shared" si="13"/>
        <v>1066460</v>
      </c>
      <c r="BH53" s="79"/>
    </row>
    <row r="54" spans="1:60" ht="12.75" hidden="1">
      <c r="A54" s="77" t="s">
        <v>48</v>
      </c>
      <c r="B54" s="96"/>
      <c r="C54" s="155">
        <f t="shared" si="12"/>
        <v>0</v>
      </c>
      <c r="D54" s="155"/>
      <c r="E54" s="24">
        <v>0</v>
      </c>
      <c r="F54" s="155"/>
      <c r="G54" s="24">
        <v>0</v>
      </c>
      <c r="H54" s="155"/>
      <c r="I54" s="155">
        <f t="shared" si="0"/>
        <v>0</v>
      </c>
      <c r="J54" s="155"/>
      <c r="K54" s="24">
        <v>0</v>
      </c>
      <c r="L54" s="155"/>
      <c r="M54" s="24">
        <v>0</v>
      </c>
      <c r="N54" s="155"/>
      <c r="O54" s="24">
        <v>0</v>
      </c>
      <c r="P54" s="155"/>
      <c r="Q54" s="24">
        <v>0</v>
      </c>
      <c r="R54" s="155"/>
      <c r="S54" s="24">
        <v>0</v>
      </c>
      <c r="T54" s="155"/>
      <c r="U54" s="155">
        <f t="shared" si="1"/>
        <v>0</v>
      </c>
      <c r="V54" s="102"/>
      <c r="W54" s="161" t="s">
        <v>48</v>
      </c>
      <c r="X54" s="102"/>
      <c r="Y54" s="24">
        <v>0</v>
      </c>
      <c r="Z54" s="156"/>
      <c r="AA54" s="24">
        <v>0</v>
      </c>
      <c r="AB54" s="156"/>
      <c r="AC54" s="24">
        <v>0</v>
      </c>
      <c r="AD54" s="156"/>
      <c r="AE54" s="155">
        <f t="shared" si="2"/>
        <v>0</v>
      </c>
      <c r="AF54" s="147"/>
      <c r="AG54" s="24">
        <v>0</v>
      </c>
      <c r="AH54" s="147"/>
      <c r="AI54" s="24">
        <v>0</v>
      </c>
      <c r="AJ54" s="156"/>
      <c r="AK54" s="24">
        <v>0</v>
      </c>
      <c r="AL54" s="156"/>
      <c r="AM54" s="24">
        <v>0</v>
      </c>
      <c r="AN54" s="156"/>
      <c r="AO54" s="155">
        <f t="shared" si="3"/>
        <v>0</v>
      </c>
      <c r="AP54" s="147"/>
      <c r="AQ54" s="156">
        <v>0</v>
      </c>
      <c r="AR54" s="156"/>
      <c r="AS54" s="156">
        <v>0</v>
      </c>
      <c r="AT54" s="156"/>
      <c r="AU54" s="155">
        <f t="shared" si="4"/>
        <v>0</v>
      </c>
      <c r="AV54" s="102"/>
      <c r="AW54" s="161" t="s">
        <v>48</v>
      </c>
      <c r="AX54" s="102"/>
      <c r="AY54" s="24">
        <v>0</v>
      </c>
      <c r="AZ54" s="156"/>
      <c r="BA54" s="24">
        <v>0</v>
      </c>
      <c r="BB54" s="156"/>
      <c r="BC54" s="24">
        <v>0</v>
      </c>
      <c r="BD54" s="156"/>
      <c r="BE54" s="24">
        <v>0</v>
      </c>
      <c r="BF54" s="156"/>
      <c r="BG54" s="155">
        <f t="shared" si="13"/>
        <v>0</v>
      </c>
      <c r="BH54" s="79"/>
    </row>
    <row r="55" spans="1:60" ht="12.75" hidden="1">
      <c r="A55" s="77" t="s">
        <v>170</v>
      </c>
      <c r="B55" s="96"/>
      <c r="C55" s="35">
        <f t="shared" si="12"/>
        <v>0</v>
      </c>
      <c r="D55" s="35"/>
      <c r="E55" s="24">
        <v>0</v>
      </c>
      <c r="F55" s="35"/>
      <c r="G55" s="24">
        <v>0</v>
      </c>
      <c r="H55" s="35"/>
      <c r="I55" s="35">
        <f t="shared" si="0"/>
        <v>0</v>
      </c>
      <c r="J55" s="35"/>
      <c r="K55" s="24">
        <v>0</v>
      </c>
      <c r="L55" s="35"/>
      <c r="M55" s="24">
        <v>0</v>
      </c>
      <c r="N55" s="35"/>
      <c r="O55" s="24">
        <v>0</v>
      </c>
      <c r="P55" s="35"/>
      <c r="Q55" s="24">
        <v>0</v>
      </c>
      <c r="R55" s="35"/>
      <c r="S55" s="24">
        <v>0</v>
      </c>
      <c r="T55" s="35"/>
      <c r="U55" s="35">
        <f t="shared" si="1"/>
        <v>0</v>
      </c>
      <c r="V55" s="96"/>
      <c r="W55" s="81" t="s">
        <v>170</v>
      </c>
      <c r="X55" s="96"/>
      <c r="Y55" s="24">
        <v>0</v>
      </c>
      <c r="Z55" s="17"/>
      <c r="AA55" s="24">
        <v>0</v>
      </c>
      <c r="AB55" s="17"/>
      <c r="AC55" s="24">
        <v>0</v>
      </c>
      <c r="AD55" s="17"/>
      <c r="AE55" s="35">
        <f t="shared" si="2"/>
        <v>0</v>
      </c>
      <c r="AF55" s="40"/>
      <c r="AG55" s="24">
        <v>0</v>
      </c>
      <c r="AH55" s="40"/>
      <c r="AI55" s="24">
        <v>0</v>
      </c>
      <c r="AJ55" s="17"/>
      <c r="AK55" s="24">
        <v>0</v>
      </c>
      <c r="AL55" s="17"/>
      <c r="AM55" s="24">
        <v>0</v>
      </c>
      <c r="AN55" s="17"/>
      <c r="AO55" s="35">
        <f t="shared" si="3"/>
        <v>0</v>
      </c>
      <c r="AP55" s="40"/>
      <c r="AQ55" s="17">
        <v>0</v>
      </c>
      <c r="AR55" s="17"/>
      <c r="AS55" s="17">
        <v>0</v>
      </c>
      <c r="AT55" s="17"/>
      <c r="AU55" s="35">
        <f t="shared" si="4"/>
        <v>0</v>
      </c>
      <c r="AV55" s="96"/>
      <c r="AW55" s="81" t="s">
        <v>170</v>
      </c>
      <c r="AX55" s="96"/>
      <c r="AY55" s="24">
        <v>0</v>
      </c>
      <c r="AZ55" s="17"/>
      <c r="BA55" s="24">
        <v>0</v>
      </c>
      <c r="BB55" s="17"/>
      <c r="BC55" s="24">
        <v>0</v>
      </c>
      <c r="BD55" s="17"/>
      <c r="BE55" s="24">
        <v>0</v>
      </c>
      <c r="BF55" s="17"/>
      <c r="BG55" s="35">
        <f t="shared" si="13"/>
        <v>0</v>
      </c>
      <c r="BH55" s="79"/>
    </row>
    <row r="56" spans="1:60" ht="12.75" hidden="1">
      <c r="A56" s="77" t="s">
        <v>49</v>
      </c>
      <c r="B56" s="96"/>
      <c r="C56" s="35">
        <f t="shared" si="12"/>
        <v>0</v>
      </c>
      <c r="D56" s="35"/>
      <c r="E56" s="24">
        <v>0</v>
      </c>
      <c r="F56" s="35"/>
      <c r="G56" s="24">
        <v>0</v>
      </c>
      <c r="H56" s="35"/>
      <c r="I56" s="35">
        <f t="shared" si="0"/>
        <v>0</v>
      </c>
      <c r="J56" s="35"/>
      <c r="K56" s="24">
        <v>0</v>
      </c>
      <c r="L56" s="35"/>
      <c r="M56" s="24">
        <v>0</v>
      </c>
      <c r="N56" s="35"/>
      <c r="O56" s="24">
        <v>0</v>
      </c>
      <c r="P56" s="35"/>
      <c r="Q56" s="24">
        <v>0</v>
      </c>
      <c r="R56" s="35"/>
      <c r="S56" s="24">
        <v>0</v>
      </c>
      <c r="T56" s="35"/>
      <c r="U56" s="35">
        <f t="shared" si="1"/>
        <v>0</v>
      </c>
      <c r="V56" s="96"/>
      <c r="W56" s="81" t="s">
        <v>49</v>
      </c>
      <c r="X56" s="96"/>
      <c r="Y56" s="24">
        <v>0</v>
      </c>
      <c r="Z56" s="17"/>
      <c r="AA56" s="24">
        <v>0</v>
      </c>
      <c r="AB56" s="17"/>
      <c r="AC56" s="24">
        <v>0</v>
      </c>
      <c r="AD56" s="17"/>
      <c r="AE56" s="35">
        <f t="shared" si="2"/>
        <v>0</v>
      </c>
      <c r="AF56" s="40"/>
      <c r="AG56" s="24">
        <v>0</v>
      </c>
      <c r="AH56" s="40"/>
      <c r="AI56" s="24">
        <v>0</v>
      </c>
      <c r="AJ56" s="17"/>
      <c r="AK56" s="24">
        <v>0</v>
      </c>
      <c r="AL56" s="17"/>
      <c r="AM56" s="24">
        <v>0</v>
      </c>
      <c r="AN56" s="17"/>
      <c r="AO56" s="35">
        <f t="shared" si="3"/>
        <v>0</v>
      </c>
      <c r="AP56" s="40"/>
      <c r="AQ56" s="17">
        <v>0</v>
      </c>
      <c r="AR56" s="17"/>
      <c r="AS56" s="17">
        <v>0</v>
      </c>
      <c r="AT56" s="17"/>
      <c r="AU56" s="35">
        <f t="shared" si="4"/>
        <v>0</v>
      </c>
      <c r="AV56" s="96"/>
      <c r="AW56" s="81" t="s">
        <v>49</v>
      </c>
      <c r="AX56" s="96"/>
      <c r="AY56" s="24">
        <v>0</v>
      </c>
      <c r="AZ56" s="17"/>
      <c r="BA56" s="24">
        <v>0</v>
      </c>
      <c r="BB56" s="17"/>
      <c r="BC56" s="24">
        <v>0</v>
      </c>
      <c r="BD56" s="17"/>
      <c r="BE56" s="24">
        <v>0</v>
      </c>
      <c r="BF56" s="17"/>
      <c r="BG56" s="35">
        <f t="shared" si="13"/>
        <v>0</v>
      </c>
      <c r="BH56" s="79"/>
    </row>
    <row r="57" spans="1:60" ht="12.75" hidden="1">
      <c r="A57" s="77" t="s">
        <v>50</v>
      </c>
      <c r="B57" s="96"/>
      <c r="C57" s="35">
        <f t="shared" si="12"/>
        <v>0</v>
      </c>
      <c r="D57" s="35"/>
      <c r="E57" s="24">
        <v>0</v>
      </c>
      <c r="F57" s="35"/>
      <c r="G57" s="24">
        <v>0</v>
      </c>
      <c r="H57" s="35"/>
      <c r="I57" s="35">
        <f t="shared" si="0"/>
        <v>0</v>
      </c>
      <c r="J57" s="35"/>
      <c r="K57" s="24">
        <v>0</v>
      </c>
      <c r="L57" s="35"/>
      <c r="M57" s="24">
        <v>0</v>
      </c>
      <c r="N57" s="35"/>
      <c r="O57" s="24">
        <v>0</v>
      </c>
      <c r="P57" s="35"/>
      <c r="Q57" s="24">
        <v>0</v>
      </c>
      <c r="R57" s="35"/>
      <c r="S57" s="24">
        <v>0</v>
      </c>
      <c r="T57" s="35"/>
      <c r="U57" s="35">
        <f t="shared" si="1"/>
        <v>0</v>
      </c>
      <c r="V57" s="96"/>
      <c r="W57" s="81" t="s">
        <v>50</v>
      </c>
      <c r="X57" s="96"/>
      <c r="Y57" s="24">
        <v>0</v>
      </c>
      <c r="Z57" s="17"/>
      <c r="AA57" s="24">
        <v>0</v>
      </c>
      <c r="AB57" s="17"/>
      <c r="AC57" s="24">
        <v>0</v>
      </c>
      <c r="AD57" s="17"/>
      <c r="AE57" s="35">
        <f t="shared" si="2"/>
        <v>0</v>
      </c>
      <c r="AF57" s="40"/>
      <c r="AG57" s="24">
        <v>0</v>
      </c>
      <c r="AH57" s="40"/>
      <c r="AI57" s="24">
        <v>0</v>
      </c>
      <c r="AJ57" s="17"/>
      <c r="AK57" s="24">
        <v>0</v>
      </c>
      <c r="AL57" s="17"/>
      <c r="AM57" s="24">
        <v>0</v>
      </c>
      <c r="AN57" s="17"/>
      <c r="AO57" s="35">
        <f t="shared" si="3"/>
        <v>0</v>
      </c>
      <c r="AP57" s="40"/>
      <c r="AQ57" s="17">
        <v>0</v>
      </c>
      <c r="AR57" s="17"/>
      <c r="AS57" s="17">
        <v>0</v>
      </c>
      <c r="AT57" s="17"/>
      <c r="AU57" s="35">
        <f t="shared" si="4"/>
        <v>0</v>
      </c>
      <c r="AV57" s="96"/>
      <c r="AW57" s="81" t="s">
        <v>50</v>
      </c>
      <c r="AX57" s="96"/>
      <c r="AY57" s="24">
        <v>0</v>
      </c>
      <c r="AZ57" s="17"/>
      <c r="BA57" s="24">
        <v>0</v>
      </c>
      <c r="BB57" s="17"/>
      <c r="BC57" s="24">
        <v>0</v>
      </c>
      <c r="BD57" s="17"/>
      <c r="BE57" s="24">
        <v>0</v>
      </c>
      <c r="BF57" s="17"/>
      <c r="BG57" s="35">
        <f t="shared" si="13"/>
        <v>0</v>
      </c>
      <c r="BH57" s="79"/>
    </row>
    <row r="58" spans="1:60" ht="12.75" hidden="1">
      <c r="A58" s="77" t="s">
        <v>246</v>
      </c>
      <c r="B58" s="96"/>
      <c r="C58" s="35">
        <f t="shared" si="12"/>
        <v>0</v>
      </c>
      <c r="D58" s="35"/>
      <c r="E58" s="24">
        <v>0</v>
      </c>
      <c r="F58" s="35"/>
      <c r="G58" s="24">
        <v>0</v>
      </c>
      <c r="H58" s="35"/>
      <c r="I58" s="35">
        <f t="shared" si="0"/>
        <v>0</v>
      </c>
      <c r="J58" s="35"/>
      <c r="K58" s="24">
        <v>0</v>
      </c>
      <c r="L58" s="35"/>
      <c r="M58" s="24">
        <v>0</v>
      </c>
      <c r="N58" s="35"/>
      <c r="O58" s="24">
        <v>0</v>
      </c>
      <c r="P58" s="35"/>
      <c r="Q58" s="24">
        <v>0</v>
      </c>
      <c r="R58" s="35"/>
      <c r="S58" s="24">
        <v>0</v>
      </c>
      <c r="T58" s="35"/>
      <c r="U58" s="35">
        <f t="shared" si="1"/>
        <v>0</v>
      </c>
      <c r="V58" s="35"/>
      <c r="W58" s="81" t="s">
        <v>51</v>
      </c>
      <c r="X58" s="35"/>
      <c r="Y58" s="24">
        <v>0</v>
      </c>
      <c r="Z58" s="17"/>
      <c r="AA58" s="24">
        <v>0</v>
      </c>
      <c r="AB58" s="17"/>
      <c r="AC58" s="24">
        <v>0</v>
      </c>
      <c r="AD58" s="17"/>
      <c r="AE58" s="35">
        <f t="shared" si="2"/>
        <v>0</v>
      </c>
      <c r="AF58" s="40"/>
      <c r="AG58" s="24">
        <v>0</v>
      </c>
      <c r="AH58" s="40"/>
      <c r="AI58" s="24">
        <v>0</v>
      </c>
      <c r="AJ58" s="17"/>
      <c r="AK58" s="24">
        <v>0</v>
      </c>
      <c r="AL58" s="17"/>
      <c r="AM58" s="24">
        <v>0</v>
      </c>
      <c r="AN58" s="17"/>
      <c r="AO58" s="35">
        <f t="shared" si="3"/>
        <v>0</v>
      </c>
      <c r="AP58" s="40"/>
      <c r="AQ58" s="17">
        <v>0</v>
      </c>
      <c r="AR58" s="17"/>
      <c r="AS58" s="17">
        <v>0</v>
      </c>
      <c r="AT58" s="17"/>
      <c r="AU58" s="35">
        <f t="shared" si="4"/>
        <v>0</v>
      </c>
      <c r="AV58" s="17"/>
      <c r="AW58" s="81" t="s">
        <v>51</v>
      </c>
      <c r="AX58" s="17"/>
      <c r="AY58" s="24">
        <v>0</v>
      </c>
      <c r="AZ58" s="17"/>
      <c r="BA58" s="24">
        <v>0</v>
      </c>
      <c r="BB58" s="17"/>
      <c r="BC58" s="24">
        <v>0</v>
      </c>
      <c r="BD58" s="17"/>
      <c r="BE58" s="24">
        <v>0</v>
      </c>
      <c r="BF58" s="17"/>
      <c r="BG58" s="35">
        <f t="shared" si="13"/>
        <v>0</v>
      </c>
      <c r="BH58" s="79"/>
    </row>
    <row r="59" spans="1:60" ht="12.75" hidden="1">
      <c r="A59" s="77" t="s">
        <v>134</v>
      </c>
      <c r="B59" s="96"/>
      <c r="C59" s="35">
        <f t="shared" si="12"/>
        <v>0</v>
      </c>
      <c r="D59" s="35"/>
      <c r="E59" s="24">
        <v>0</v>
      </c>
      <c r="F59" s="35"/>
      <c r="G59" s="24">
        <v>0</v>
      </c>
      <c r="H59" s="35"/>
      <c r="I59" s="35">
        <f t="shared" si="0"/>
        <v>0</v>
      </c>
      <c r="J59" s="35"/>
      <c r="K59" s="24">
        <v>0</v>
      </c>
      <c r="L59" s="35"/>
      <c r="M59" s="24">
        <v>0</v>
      </c>
      <c r="N59" s="35"/>
      <c r="O59" s="24">
        <v>0</v>
      </c>
      <c r="P59" s="35"/>
      <c r="Q59" s="24">
        <v>0</v>
      </c>
      <c r="R59" s="35"/>
      <c r="S59" s="24">
        <v>0</v>
      </c>
      <c r="T59" s="35"/>
      <c r="U59" s="35">
        <f t="shared" si="1"/>
        <v>0</v>
      </c>
      <c r="V59" s="35"/>
      <c r="W59" s="81" t="s">
        <v>134</v>
      </c>
      <c r="X59" s="35"/>
      <c r="Y59" s="24">
        <v>0</v>
      </c>
      <c r="Z59" s="17"/>
      <c r="AA59" s="24">
        <v>0</v>
      </c>
      <c r="AB59" s="17"/>
      <c r="AC59" s="24">
        <v>0</v>
      </c>
      <c r="AD59" s="17"/>
      <c r="AE59" s="35">
        <f t="shared" si="2"/>
        <v>0</v>
      </c>
      <c r="AF59" s="40"/>
      <c r="AG59" s="24">
        <v>0</v>
      </c>
      <c r="AH59" s="40"/>
      <c r="AI59" s="24">
        <v>0</v>
      </c>
      <c r="AJ59" s="17"/>
      <c r="AK59" s="24">
        <v>0</v>
      </c>
      <c r="AL59" s="17"/>
      <c r="AM59" s="24">
        <v>0</v>
      </c>
      <c r="AN59" s="17"/>
      <c r="AO59" s="35">
        <f t="shared" si="3"/>
        <v>0</v>
      </c>
      <c r="AP59" s="40"/>
      <c r="AQ59" s="17">
        <v>0</v>
      </c>
      <c r="AR59" s="17"/>
      <c r="AS59" s="17">
        <v>0</v>
      </c>
      <c r="AT59" s="17"/>
      <c r="AU59" s="35">
        <f t="shared" si="4"/>
        <v>0</v>
      </c>
      <c r="AV59" s="17"/>
      <c r="AW59" s="81" t="s">
        <v>134</v>
      </c>
      <c r="AX59" s="17"/>
      <c r="AY59" s="24">
        <v>0</v>
      </c>
      <c r="AZ59" s="17"/>
      <c r="BA59" s="24">
        <v>0</v>
      </c>
      <c r="BB59" s="17"/>
      <c r="BC59" s="24">
        <v>0</v>
      </c>
      <c r="BD59" s="17"/>
      <c r="BE59" s="24">
        <v>0</v>
      </c>
      <c r="BF59" s="17"/>
      <c r="BG59" s="35">
        <f t="shared" si="13"/>
        <v>0</v>
      </c>
      <c r="BH59" s="79"/>
    </row>
    <row r="60" spans="1:60" ht="12.75" hidden="1">
      <c r="A60" s="77" t="s">
        <v>52</v>
      </c>
      <c r="B60" s="96"/>
      <c r="C60" s="35">
        <f t="shared" si="12"/>
        <v>0</v>
      </c>
      <c r="D60" s="35"/>
      <c r="E60" s="24">
        <v>0</v>
      </c>
      <c r="F60" s="35"/>
      <c r="G60" s="24">
        <v>0</v>
      </c>
      <c r="H60" s="35"/>
      <c r="I60" s="35">
        <f t="shared" si="0"/>
        <v>0</v>
      </c>
      <c r="J60" s="35"/>
      <c r="K60" s="24">
        <v>0</v>
      </c>
      <c r="L60" s="35"/>
      <c r="M60" s="24">
        <v>0</v>
      </c>
      <c r="N60" s="35"/>
      <c r="O60" s="24">
        <v>0</v>
      </c>
      <c r="P60" s="35"/>
      <c r="Q60" s="24">
        <v>0</v>
      </c>
      <c r="R60" s="35"/>
      <c r="S60" s="24">
        <v>0</v>
      </c>
      <c r="T60" s="35"/>
      <c r="U60" s="35">
        <f t="shared" si="1"/>
        <v>0</v>
      </c>
      <c r="V60" s="96"/>
      <c r="W60" s="81" t="s">
        <v>52</v>
      </c>
      <c r="X60" s="96"/>
      <c r="Y60" s="24">
        <v>0</v>
      </c>
      <c r="Z60" s="17"/>
      <c r="AA60" s="24">
        <v>0</v>
      </c>
      <c r="AB60" s="17"/>
      <c r="AC60" s="24">
        <v>0</v>
      </c>
      <c r="AD60" s="17"/>
      <c r="AE60" s="35">
        <f t="shared" si="2"/>
        <v>0</v>
      </c>
      <c r="AF60" s="40"/>
      <c r="AG60" s="24">
        <v>0</v>
      </c>
      <c r="AH60" s="40"/>
      <c r="AI60" s="24">
        <v>0</v>
      </c>
      <c r="AJ60" s="17"/>
      <c r="AK60" s="24">
        <v>0</v>
      </c>
      <c r="AL60" s="17"/>
      <c r="AM60" s="24">
        <v>0</v>
      </c>
      <c r="AN60" s="17"/>
      <c r="AO60" s="35">
        <f t="shared" si="3"/>
        <v>0</v>
      </c>
      <c r="AP60" s="40"/>
      <c r="AQ60" s="17">
        <v>0</v>
      </c>
      <c r="AR60" s="17"/>
      <c r="AS60" s="17">
        <v>0</v>
      </c>
      <c r="AT60" s="17"/>
      <c r="AU60" s="35">
        <f t="shared" si="4"/>
        <v>0</v>
      </c>
      <c r="AV60" s="96"/>
      <c r="AW60" s="81" t="s">
        <v>52</v>
      </c>
      <c r="AX60" s="96"/>
      <c r="AY60" s="24">
        <v>0</v>
      </c>
      <c r="AZ60" s="17"/>
      <c r="BA60" s="24">
        <v>0</v>
      </c>
      <c r="BB60" s="17"/>
      <c r="BC60" s="24">
        <v>0</v>
      </c>
      <c r="BD60" s="17"/>
      <c r="BE60" s="24">
        <v>0</v>
      </c>
      <c r="BF60" s="17"/>
      <c r="BG60" s="35">
        <f t="shared" si="13"/>
        <v>0</v>
      </c>
      <c r="BH60" s="79"/>
    </row>
    <row r="61" spans="1:60" ht="12.75" hidden="1">
      <c r="A61" s="77" t="s">
        <v>53</v>
      </c>
      <c r="B61" s="96"/>
      <c r="C61" s="35">
        <f t="shared" si="12"/>
        <v>0</v>
      </c>
      <c r="D61" s="35"/>
      <c r="E61" s="24">
        <v>0</v>
      </c>
      <c r="F61" s="35"/>
      <c r="G61" s="24">
        <v>0</v>
      </c>
      <c r="H61" s="35"/>
      <c r="I61" s="35">
        <f t="shared" si="0"/>
        <v>0</v>
      </c>
      <c r="J61" s="35"/>
      <c r="K61" s="24">
        <v>0</v>
      </c>
      <c r="L61" s="35"/>
      <c r="M61" s="24">
        <v>0</v>
      </c>
      <c r="N61" s="35"/>
      <c r="O61" s="24">
        <v>0</v>
      </c>
      <c r="P61" s="35"/>
      <c r="Q61" s="24">
        <v>0</v>
      </c>
      <c r="R61" s="35"/>
      <c r="S61" s="24">
        <v>0</v>
      </c>
      <c r="T61" s="35"/>
      <c r="U61" s="35">
        <f t="shared" si="1"/>
        <v>0</v>
      </c>
      <c r="V61" s="35"/>
      <c r="W61" s="81" t="s">
        <v>53</v>
      </c>
      <c r="X61" s="35"/>
      <c r="Y61" s="24">
        <v>0</v>
      </c>
      <c r="Z61" s="17"/>
      <c r="AA61" s="24">
        <v>0</v>
      </c>
      <c r="AB61" s="17"/>
      <c r="AC61" s="24">
        <v>0</v>
      </c>
      <c r="AD61" s="17"/>
      <c r="AE61" s="35">
        <f t="shared" si="2"/>
        <v>0</v>
      </c>
      <c r="AF61" s="40"/>
      <c r="AG61" s="24">
        <v>0</v>
      </c>
      <c r="AH61" s="40"/>
      <c r="AI61" s="24">
        <v>0</v>
      </c>
      <c r="AJ61" s="17"/>
      <c r="AK61" s="24">
        <v>0</v>
      </c>
      <c r="AL61" s="17"/>
      <c r="AM61" s="24">
        <v>0</v>
      </c>
      <c r="AN61" s="17"/>
      <c r="AO61" s="35">
        <f t="shared" si="3"/>
        <v>0</v>
      </c>
      <c r="AP61" s="40"/>
      <c r="AQ61" s="17">
        <v>0</v>
      </c>
      <c r="AR61" s="17"/>
      <c r="AS61" s="17">
        <v>0</v>
      </c>
      <c r="AT61" s="17"/>
      <c r="AU61" s="35">
        <f t="shared" si="4"/>
        <v>0</v>
      </c>
      <c r="AV61" s="17"/>
      <c r="AW61" s="81" t="s">
        <v>53</v>
      </c>
      <c r="AX61" s="17"/>
      <c r="AY61" s="24">
        <v>0</v>
      </c>
      <c r="AZ61" s="17"/>
      <c r="BA61" s="24">
        <v>0</v>
      </c>
      <c r="BB61" s="17"/>
      <c r="BC61" s="24">
        <v>0</v>
      </c>
      <c r="BD61" s="17"/>
      <c r="BE61" s="24">
        <v>0</v>
      </c>
      <c r="BF61" s="17"/>
      <c r="BG61" s="35">
        <f t="shared" si="13"/>
        <v>0</v>
      </c>
      <c r="BH61" s="79"/>
    </row>
    <row r="62" spans="1:60" ht="12.75" hidden="1">
      <c r="A62" s="77" t="s">
        <v>54</v>
      </c>
      <c r="B62" s="96"/>
      <c r="C62" s="35">
        <f t="shared" si="12"/>
        <v>0</v>
      </c>
      <c r="D62" s="35"/>
      <c r="E62" s="24">
        <v>0</v>
      </c>
      <c r="F62" s="35"/>
      <c r="G62" s="24">
        <v>0</v>
      </c>
      <c r="H62" s="35"/>
      <c r="I62" s="35">
        <f t="shared" si="0"/>
        <v>0</v>
      </c>
      <c r="J62" s="35"/>
      <c r="K62" s="24">
        <v>0</v>
      </c>
      <c r="L62" s="35"/>
      <c r="M62" s="24">
        <v>0</v>
      </c>
      <c r="N62" s="35"/>
      <c r="O62" s="24">
        <v>0</v>
      </c>
      <c r="P62" s="35"/>
      <c r="Q62" s="24">
        <v>0</v>
      </c>
      <c r="R62" s="35"/>
      <c r="S62" s="24">
        <v>0</v>
      </c>
      <c r="T62" s="35"/>
      <c r="U62" s="35">
        <f t="shared" si="1"/>
        <v>0</v>
      </c>
      <c r="V62" s="35"/>
      <c r="W62" s="81" t="s">
        <v>54</v>
      </c>
      <c r="X62" s="35"/>
      <c r="Y62" s="24">
        <v>0</v>
      </c>
      <c r="Z62" s="17"/>
      <c r="AA62" s="24">
        <v>0</v>
      </c>
      <c r="AB62" s="17"/>
      <c r="AC62" s="24">
        <v>0</v>
      </c>
      <c r="AD62" s="17"/>
      <c r="AE62" s="35">
        <f t="shared" si="2"/>
        <v>0</v>
      </c>
      <c r="AF62" s="40"/>
      <c r="AG62" s="24">
        <v>0</v>
      </c>
      <c r="AH62" s="40"/>
      <c r="AI62" s="24">
        <v>0</v>
      </c>
      <c r="AJ62" s="17"/>
      <c r="AK62" s="24">
        <v>0</v>
      </c>
      <c r="AL62" s="17"/>
      <c r="AM62" s="24">
        <v>0</v>
      </c>
      <c r="AN62" s="17"/>
      <c r="AO62" s="35">
        <f t="shared" si="3"/>
        <v>0</v>
      </c>
      <c r="AP62" s="40"/>
      <c r="AQ62" s="17">
        <v>0</v>
      </c>
      <c r="AR62" s="17"/>
      <c r="AS62" s="17">
        <v>0</v>
      </c>
      <c r="AT62" s="17"/>
      <c r="AU62" s="35">
        <f t="shared" si="4"/>
        <v>0</v>
      </c>
      <c r="AV62" s="17"/>
      <c r="AW62" s="81" t="s">
        <v>54</v>
      </c>
      <c r="AX62" s="17"/>
      <c r="AY62" s="24">
        <v>0</v>
      </c>
      <c r="AZ62" s="17"/>
      <c r="BA62" s="24">
        <v>0</v>
      </c>
      <c r="BB62" s="17"/>
      <c r="BC62" s="24">
        <v>0</v>
      </c>
      <c r="BD62" s="17"/>
      <c r="BE62" s="24">
        <v>0</v>
      </c>
      <c r="BF62" s="17"/>
      <c r="BG62" s="35">
        <f t="shared" si="13"/>
        <v>0</v>
      </c>
      <c r="BH62" s="79"/>
    </row>
    <row r="63" spans="1:60" ht="12.75" hidden="1">
      <c r="A63" s="77" t="s">
        <v>55</v>
      </c>
      <c r="B63" s="96"/>
      <c r="C63" s="35">
        <f t="shared" si="12"/>
        <v>0</v>
      </c>
      <c r="D63" s="35"/>
      <c r="E63" s="24">
        <v>0</v>
      </c>
      <c r="F63" s="35"/>
      <c r="G63" s="24">
        <v>0</v>
      </c>
      <c r="H63" s="35"/>
      <c r="I63" s="35">
        <f t="shared" si="0"/>
        <v>0</v>
      </c>
      <c r="J63" s="35"/>
      <c r="K63" s="24">
        <v>0</v>
      </c>
      <c r="L63" s="35"/>
      <c r="M63" s="24">
        <v>0</v>
      </c>
      <c r="N63" s="35"/>
      <c r="O63" s="24">
        <v>0</v>
      </c>
      <c r="P63" s="35"/>
      <c r="Q63" s="24">
        <v>0</v>
      </c>
      <c r="R63" s="35"/>
      <c r="S63" s="24">
        <v>0</v>
      </c>
      <c r="T63" s="35"/>
      <c r="U63" s="35">
        <f t="shared" si="1"/>
        <v>0</v>
      </c>
      <c r="V63" s="35"/>
      <c r="W63" s="81" t="s">
        <v>55</v>
      </c>
      <c r="X63" s="35"/>
      <c r="Y63" s="24">
        <v>0</v>
      </c>
      <c r="Z63" s="17"/>
      <c r="AA63" s="24">
        <v>0</v>
      </c>
      <c r="AB63" s="17"/>
      <c r="AC63" s="24">
        <v>0</v>
      </c>
      <c r="AD63" s="17"/>
      <c r="AE63" s="35">
        <f t="shared" si="2"/>
        <v>0</v>
      </c>
      <c r="AF63" s="40"/>
      <c r="AG63" s="24">
        <v>0</v>
      </c>
      <c r="AH63" s="40"/>
      <c r="AI63" s="24">
        <v>0</v>
      </c>
      <c r="AJ63" s="17"/>
      <c r="AK63" s="24">
        <v>0</v>
      </c>
      <c r="AL63" s="17"/>
      <c r="AM63" s="24">
        <v>0</v>
      </c>
      <c r="AN63" s="17"/>
      <c r="AO63" s="35">
        <f t="shared" si="3"/>
        <v>0</v>
      </c>
      <c r="AP63" s="40"/>
      <c r="AQ63" s="17">
        <v>0</v>
      </c>
      <c r="AR63" s="17"/>
      <c r="AS63" s="17">
        <v>0</v>
      </c>
      <c r="AT63" s="17"/>
      <c r="AU63" s="35">
        <f t="shared" si="4"/>
        <v>0</v>
      </c>
      <c r="AV63" s="17"/>
      <c r="AW63" s="81" t="s">
        <v>55</v>
      </c>
      <c r="AX63" s="17"/>
      <c r="AY63" s="24">
        <v>0</v>
      </c>
      <c r="AZ63" s="17"/>
      <c r="BA63" s="24">
        <v>0</v>
      </c>
      <c r="BB63" s="17"/>
      <c r="BC63" s="24">
        <v>0</v>
      </c>
      <c r="BD63" s="17"/>
      <c r="BE63" s="24">
        <v>0</v>
      </c>
      <c r="BF63" s="17"/>
      <c r="BG63" s="35">
        <f t="shared" si="13"/>
        <v>0</v>
      </c>
      <c r="BH63" s="79"/>
    </row>
    <row r="64" spans="1:60" s="170" customFormat="1" ht="12.75" hidden="1">
      <c r="A64" s="171" t="s">
        <v>171</v>
      </c>
      <c r="B64" s="168"/>
      <c r="C64" s="165">
        <f t="shared" si="12"/>
        <v>0</v>
      </c>
      <c r="D64" s="165"/>
      <c r="E64" s="24">
        <v>0</v>
      </c>
      <c r="F64" s="165"/>
      <c r="G64" s="24">
        <v>0</v>
      </c>
      <c r="H64" s="165"/>
      <c r="I64" s="165">
        <f t="shared" si="0"/>
        <v>0</v>
      </c>
      <c r="J64" s="165"/>
      <c r="K64" s="24">
        <v>0</v>
      </c>
      <c r="L64" s="165"/>
      <c r="M64" s="24">
        <v>0</v>
      </c>
      <c r="N64" s="165"/>
      <c r="O64" s="24">
        <v>0</v>
      </c>
      <c r="P64" s="165"/>
      <c r="Q64" s="24">
        <v>0</v>
      </c>
      <c r="R64" s="165"/>
      <c r="S64" s="24">
        <v>0</v>
      </c>
      <c r="T64" s="165"/>
      <c r="U64" s="165">
        <f t="shared" si="1"/>
        <v>0</v>
      </c>
      <c r="V64" s="168"/>
      <c r="W64" s="172" t="s">
        <v>171</v>
      </c>
      <c r="X64" s="168"/>
      <c r="Y64" s="24">
        <v>0</v>
      </c>
      <c r="Z64" s="164"/>
      <c r="AA64" s="24">
        <v>0</v>
      </c>
      <c r="AB64" s="164"/>
      <c r="AC64" s="24">
        <v>0</v>
      </c>
      <c r="AD64" s="164"/>
      <c r="AE64" s="165">
        <f t="shared" si="2"/>
        <v>0</v>
      </c>
      <c r="AF64" s="167"/>
      <c r="AG64" s="24">
        <v>0</v>
      </c>
      <c r="AH64" s="167"/>
      <c r="AI64" s="24">
        <v>0</v>
      </c>
      <c r="AJ64" s="164"/>
      <c r="AK64" s="24">
        <v>0</v>
      </c>
      <c r="AL64" s="164"/>
      <c r="AM64" s="24">
        <v>0</v>
      </c>
      <c r="AN64" s="164"/>
      <c r="AO64" s="165">
        <f t="shared" si="3"/>
        <v>0</v>
      </c>
      <c r="AP64" s="167"/>
      <c r="AQ64" s="164">
        <v>0</v>
      </c>
      <c r="AR64" s="164"/>
      <c r="AS64" s="164">
        <v>0</v>
      </c>
      <c r="AT64" s="164"/>
      <c r="AU64" s="165">
        <f t="shared" si="4"/>
        <v>0</v>
      </c>
      <c r="AV64" s="168"/>
      <c r="AW64" s="172" t="s">
        <v>171</v>
      </c>
      <c r="AX64" s="168"/>
      <c r="AY64" s="24">
        <v>0</v>
      </c>
      <c r="AZ64" s="164"/>
      <c r="BA64" s="24">
        <v>0</v>
      </c>
      <c r="BB64" s="164"/>
      <c r="BC64" s="24">
        <v>0</v>
      </c>
      <c r="BD64" s="164"/>
      <c r="BE64" s="24">
        <v>0</v>
      </c>
      <c r="BF64" s="164"/>
      <c r="BG64" s="165">
        <f t="shared" si="13"/>
        <v>0</v>
      </c>
      <c r="BH64" s="169"/>
    </row>
    <row r="65" spans="1:60" s="170" customFormat="1" ht="12.75" hidden="1">
      <c r="A65" s="166" t="s">
        <v>56</v>
      </c>
      <c r="B65" s="168"/>
      <c r="C65" s="165">
        <f t="shared" si="12"/>
        <v>0</v>
      </c>
      <c r="D65" s="165"/>
      <c r="E65" s="24">
        <v>0</v>
      </c>
      <c r="F65" s="165"/>
      <c r="G65" s="24">
        <v>0</v>
      </c>
      <c r="H65" s="165"/>
      <c r="I65" s="165">
        <f t="shared" si="0"/>
        <v>0</v>
      </c>
      <c r="J65" s="165"/>
      <c r="K65" s="24">
        <v>0</v>
      </c>
      <c r="L65" s="165"/>
      <c r="M65" s="24">
        <v>0</v>
      </c>
      <c r="N65" s="165"/>
      <c r="O65" s="24">
        <v>0</v>
      </c>
      <c r="P65" s="165"/>
      <c r="Q65" s="24">
        <v>0</v>
      </c>
      <c r="R65" s="165"/>
      <c r="S65" s="24">
        <v>0</v>
      </c>
      <c r="T65" s="165"/>
      <c r="U65" s="165">
        <f t="shared" si="1"/>
        <v>0</v>
      </c>
      <c r="V65" s="168"/>
      <c r="W65" s="163" t="s">
        <v>56</v>
      </c>
      <c r="X65" s="168"/>
      <c r="Y65" s="24">
        <v>0</v>
      </c>
      <c r="Z65" s="164"/>
      <c r="AA65" s="24">
        <v>0</v>
      </c>
      <c r="AB65" s="164"/>
      <c r="AC65" s="24">
        <v>0</v>
      </c>
      <c r="AD65" s="164"/>
      <c r="AE65" s="165">
        <f t="shared" si="2"/>
        <v>0</v>
      </c>
      <c r="AF65" s="167"/>
      <c r="AG65" s="24">
        <v>0</v>
      </c>
      <c r="AH65" s="167"/>
      <c r="AI65" s="24">
        <v>0</v>
      </c>
      <c r="AJ65" s="164"/>
      <c r="AK65" s="24">
        <v>0</v>
      </c>
      <c r="AL65" s="164"/>
      <c r="AM65" s="24">
        <v>0</v>
      </c>
      <c r="AN65" s="164"/>
      <c r="AO65" s="165">
        <f t="shared" si="3"/>
        <v>0</v>
      </c>
      <c r="AP65" s="167"/>
      <c r="AQ65" s="164">
        <v>0</v>
      </c>
      <c r="AR65" s="164"/>
      <c r="AS65" s="164">
        <v>0</v>
      </c>
      <c r="AT65" s="164"/>
      <c r="AU65" s="165">
        <f t="shared" si="4"/>
        <v>0</v>
      </c>
      <c r="AV65" s="168"/>
      <c r="AW65" s="163" t="s">
        <v>56</v>
      </c>
      <c r="AX65" s="168"/>
      <c r="AY65" s="24">
        <v>0</v>
      </c>
      <c r="AZ65" s="164"/>
      <c r="BA65" s="24">
        <v>0</v>
      </c>
      <c r="BB65" s="164"/>
      <c r="BC65" s="24">
        <v>0</v>
      </c>
      <c r="BD65" s="164"/>
      <c r="BE65" s="24">
        <v>0</v>
      </c>
      <c r="BF65" s="164"/>
      <c r="BG65" s="165">
        <f t="shared" si="13"/>
        <v>0</v>
      </c>
      <c r="BH65" s="169"/>
    </row>
    <row r="66" spans="1:60" s="170" customFormat="1" ht="12.75" hidden="1">
      <c r="A66" s="166" t="s">
        <v>57</v>
      </c>
      <c r="B66" s="168"/>
      <c r="C66" s="165">
        <f t="shared" si="12"/>
        <v>0</v>
      </c>
      <c r="D66" s="165"/>
      <c r="E66" s="24">
        <v>0</v>
      </c>
      <c r="F66" s="165"/>
      <c r="G66" s="24">
        <v>0</v>
      </c>
      <c r="H66" s="165"/>
      <c r="I66" s="165">
        <f t="shared" si="0"/>
        <v>0</v>
      </c>
      <c r="J66" s="165"/>
      <c r="K66" s="24">
        <v>0</v>
      </c>
      <c r="L66" s="165"/>
      <c r="M66" s="24">
        <v>0</v>
      </c>
      <c r="N66" s="165"/>
      <c r="O66" s="24">
        <v>0</v>
      </c>
      <c r="P66" s="165"/>
      <c r="Q66" s="24">
        <v>0</v>
      </c>
      <c r="R66" s="165"/>
      <c r="S66" s="24">
        <v>0</v>
      </c>
      <c r="T66" s="165"/>
      <c r="U66" s="165">
        <f t="shared" si="1"/>
        <v>0</v>
      </c>
      <c r="V66" s="165"/>
      <c r="W66" s="163" t="s">
        <v>57</v>
      </c>
      <c r="X66" s="165"/>
      <c r="Y66" s="24">
        <v>0</v>
      </c>
      <c r="Z66" s="164"/>
      <c r="AA66" s="24">
        <v>0</v>
      </c>
      <c r="AB66" s="164"/>
      <c r="AC66" s="24">
        <v>0</v>
      </c>
      <c r="AD66" s="164"/>
      <c r="AE66" s="165">
        <f t="shared" si="2"/>
        <v>0</v>
      </c>
      <c r="AF66" s="167"/>
      <c r="AG66" s="24">
        <v>0</v>
      </c>
      <c r="AH66" s="167"/>
      <c r="AI66" s="24">
        <v>0</v>
      </c>
      <c r="AJ66" s="164"/>
      <c r="AK66" s="24">
        <v>0</v>
      </c>
      <c r="AL66" s="164"/>
      <c r="AM66" s="24">
        <v>0</v>
      </c>
      <c r="AN66" s="164"/>
      <c r="AO66" s="165">
        <f t="shared" si="3"/>
        <v>0</v>
      </c>
      <c r="AP66" s="167"/>
      <c r="AQ66" s="164">
        <v>0</v>
      </c>
      <c r="AR66" s="164"/>
      <c r="AS66" s="164">
        <v>0</v>
      </c>
      <c r="AT66" s="164"/>
      <c r="AU66" s="165">
        <f t="shared" si="4"/>
        <v>0</v>
      </c>
      <c r="AV66" s="164"/>
      <c r="AW66" s="163" t="s">
        <v>57</v>
      </c>
      <c r="AX66" s="164"/>
      <c r="AY66" s="24">
        <v>0</v>
      </c>
      <c r="AZ66" s="164"/>
      <c r="BA66" s="24">
        <v>0</v>
      </c>
      <c r="BB66" s="164"/>
      <c r="BC66" s="24">
        <v>0</v>
      </c>
      <c r="BD66" s="164"/>
      <c r="BE66" s="24">
        <v>0</v>
      </c>
      <c r="BF66" s="164"/>
      <c r="BG66" s="165">
        <f t="shared" si="13"/>
        <v>0</v>
      </c>
      <c r="BH66" s="169"/>
    </row>
    <row r="67" spans="1:60" s="170" customFormat="1" ht="12.75" hidden="1">
      <c r="A67" s="166" t="s">
        <v>58</v>
      </c>
      <c r="B67" s="168"/>
      <c r="C67" s="165">
        <f t="shared" si="12"/>
        <v>0</v>
      </c>
      <c r="D67" s="165"/>
      <c r="E67" s="24">
        <v>0</v>
      </c>
      <c r="F67" s="165"/>
      <c r="G67" s="24">
        <v>0</v>
      </c>
      <c r="H67" s="165"/>
      <c r="I67" s="165">
        <f t="shared" si="0"/>
        <v>0</v>
      </c>
      <c r="J67" s="165"/>
      <c r="K67" s="24">
        <v>0</v>
      </c>
      <c r="L67" s="165"/>
      <c r="M67" s="24">
        <v>0</v>
      </c>
      <c r="N67" s="165"/>
      <c r="O67" s="24">
        <v>0</v>
      </c>
      <c r="P67" s="165"/>
      <c r="Q67" s="24">
        <v>0</v>
      </c>
      <c r="R67" s="165"/>
      <c r="S67" s="24">
        <v>0</v>
      </c>
      <c r="T67" s="165"/>
      <c r="U67" s="165">
        <f t="shared" si="1"/>
        <v>0</v>
      </c>
      <c r="V67" s="165"/>
      <c r="W67" s="163" t="s">
        <v>58</v>
      </c>
      <c r="X67" s="165"/>
      <c r="Y67" s="24">
        <v>0</v>
      </c>
      <c r="Z67" s="164"/>
      <c r="AA67" s="24">
        <v>0</v>
      </c>
      <c r="AB67" s="164"/>
      <c r="AC67" s="24">
        <v>0</v>
      </c>
      <c r="AD67" s="164"/>
      <c r="AE67" s="165">
        <f t="shared" si="2"/>
        <v>0</v>
      </c>
      <c r="AF67" s="167"/>
      <c r="AG67" s="24">
        <v>0</v>
      </c>
      <c r="AH67" s="167"/>
      <c r="AI67" s="24">
        <v>0</v>
      </c>
      <c r="AJ67" s="164"/>
      <c r="AK67" s="24">
        <v>0</v>
      </c>
      <c r="AL67" s="164"/>
      <c r="AM67" s="24">
        <v>0</v>
      </c>
      <c r="AN67" s="164"/>
      <c r="AO67" s="165">
        <f t="shared" si="3"/>
        <v>0</v>
      </c>
      <c r="AP67" s="167"/>
      <c r="AQ67" s="164">
        <v>0</v>
      </c>
      <c r="AR67" s="164"/>
      <c r="AS67" s="164">
        <v>0</v>
      </c>
      <c r="AT67" s="164"/>
      <c r="AU67" s="165">
        <f t="shared" si="4"/>
        <v>0</v>
      </c>
      <c r="AV67" s="164"/>
      <c r="AW67" s="163" t="s">
        <v>58</v>
      </c>
      <c r="AX67" s="164"/>
      <c r="AY67" s="24">
        <v>0</v>
      </c>
      <c r="AZ67" s="164"/>
      <c r="BA67" s="24">
        <v>0</v>
      </c>
      <c r="BB67" s="164"/>
      <c r="BC67" s="24">
        <v>0</v>
      </c>
      <c r="BD67" s="164"/>
      <c r="BE67" s="24">
        <v>0</v>
      </c>
      <c r="BF67" s="164"/>
      <c r="BG67" s="165">
        <f t="shared" si="13"/>
        <v>0</v>
      </c>
      <c r="BH67" s="169"/>
    </row>
    <row r="68" spans="1:60" ht="12.75" hidden="1">
      <c r="A68" s="77" t="s">
        <v>59</v>
      </c>
      <c r="B68" s="96"/>
      <c r="C68" s="35">
        <f>G68-E68</f>
        <v>0</v>
      </c>
      <c r="D68" s="35"/>
      <c r="E68" s="24">
        <v>0</v>
      </c>
      <c r="F68" s="35"/>
      <c r="G68" s="24">
        <v>0</v>
      </c>
      <c r="H68" s="35"/>
      <c r="I68" s="35">
        <f>M68-K68</f>
        <v>0</v>
      </c>
      <c r="J68" s="35"/>
      <c r="K68" s="24">
        <v>0</v>
      </c>
      <c r="L68" s="35"/>
      <c r="M68" s="24">
        <v>0</v>
      </c>
      <c r="N68" s="35"/>
      <c r="O68" s="24">
        <v>0</v>
      </c>
      <c r="P68" s="35"/>
      <c r="Q68" s="24">
        <v>0</v>
      </c>
      <c r="R68" s="35"/>
      <c r="S68" s="24">
        <v>0</v>
      </c>
      <c r="T68" s="35"/>
      <c r="U68" s="35">
        <f>SUM(O68:S68)</f>
        <v>0</v>
      </c>
      <c r="V68" s="35"/>
      <c r="W68" s="81" t="s">
        <v>59</v>
      </c>
      <c r="X68" s="35"/>
      <c r="Y68" s="24">
        <v>0</v>
      </c>
      <c r="Z68" s="17"/>
      <c r="AA68" s="24">
        <v>0</v>
      </c>
      <c r="AB68" s="17"/>
      <c r="AC68" s="24">
        <v>0</v>
      </c>
      <c r="AD68" s="17"/>
      <c r="AE68" s="35">
        <f>+Y68-AA68-AC68</f>
        <v>0</v>
      </c>
      <c r="AF68" s="40"/>
      <c r="AG68" s="24">
        <v>0</v>
      </c>
      <c r="AH68" s="40"/>
      <c r="AI68" s="24">
        <v>0</v>
      </c>
      <c r="AJ68" s="17"/>
      <c r="AK68" s="24">
        <v>0</v>
      </c>
      <c r="AL68" s="17"/>
      <c r="AM68" s="24">
        <v>0</v>
      </c>
      <c r="AN68" s="17"/>
      <c r="AO68" s="35">
        <f>+AE68+AG68+AI68-AK68+AM68</f>
        <v>0</v>
      </c>
      <c r="AP68" s="40"/>
      <c r="AQ68" s="17">
        <v>0</v>
      </c>
      <c r="AR68" s="17"/>
      <c r="AS68" s="17">
        <v>0</v>
      </c>
      <c r="AT68" s="17"/>
      <c r="AU68" s="35">
        <f>+C68-I68</f>
        <v>0</v>
      </c>
      <c r="AV68" s="17"/>
      <c r="AW68" s="81" t="s">
        <v>59</v>
      </c>
      <c r="AX68" s="17"/>
      <c r="AY68" s="24">
        <v>0</v>
      </c>
      <c r="AZ68" s="17"/>
      <c r="BA68" s="24">
        <v>0</v>
      </c>
      <c r="BB68" s="17"/>
      <c r="BC68" s="24">
        <v>0</v>
      </c>
      <c r="BD68" s="17"/>
      <c r="BE68" s="24">
        <v>0</v>
      </c>
      <c r="BF68" s="17"/>
      <c r="BG68" s="35">
        <f>SUM(AY68:BE68)</f>
        <v>0</v>
      </c>
      <c r="BH68" s="79"/>
    </row>
    <row r="69" spans="1:60" ht="12.75" hidden="1">
      <c r="A69" s="77" t="s">
        <v>60</v>
      </c>
      <c r="B69" s="96"/>
      <c r="C69" s="35">
        <f t="shared" si="12"/>
        <v>0</v>
      </c>
      <c r="D69" s="35"/>
      <c r="E69" s="24">
        <v>0</v>
      </c>
      <c r="F69" s="35"/>
      <c r="G69" s="24">
        <v>0</v>
      </c>
      <c r="H69" s="35"/>
      <c r="I69" s="35">
        <f t="shared" si="0"/>
        <v>0</v>
      </c>
      <c r="J69" s="35"/>
      <c r="K69" s="24">
        <v>0</v>
      </c>
      <c r="L69" s="35"/>
      <c r="M69" s="24">
        <v>0</v>
      </c>
      <c r="N69" s="35"/>
      <c r="O69" s="24">
        <v>0</v>
      </c>
      <c r="P69" s="35"/>
      <c r="Q69" s="24">
        <v>0</v>
      </c>
      <c r="R69" s="35"/>
      <c r="S69" s="24">
        <v>0</v>
      </c>
      <c r="T69" s="35"/>
      <c r="U69" s="35">
        <f t="shared" si="1"/>
        <v>0</v>
      </c>
      <c r="V69" s="35"/>
      <c r="W69" s="81" t="s">
        <v>60</v>
      </c>
      <c r="X69" s="35"/>
      <c r="Y69" s="24">
        <v>0</v>
      </c>
      <c r="Z69" s="17"/>
      <c r="AA69" s="24">
        <v>0</v>
      </c>
      <c r="AB69" s="17"/>
      <c r="AC69" s="24">
        <v>0</v>
      </c>
      <c r="AD69" s="17"/>
      <c r="AE69" s="35">
        <f t="shared" si="2"/>
        <v>0</v>
      </c>
      <c r="AF69" s="40"/>
      <c r="AG69" s="24">
        <v>0</v>
      </c>
      <c r="AH69" s="40"/>
      <c r="AI69" s="24">
        <v>0</v>
      </c>
      <c r="AJ69" s="17"/>
      <c r="AK69" s="24">
        <v>0</v>
      </c>
      <c r="AL69" s="17"/>
      <c r="AM69" s="24">
        <v>0</v>
      </c>
      <c r="AN69" s="17"/>
      <c r="AO69" s="35">
        <f t="shared" si="3"/>
        <v>0</v>
      </c>
      <c r="AP69" s="40"/>
      <c r="AQ69" s="17">
        <v>0</v>
      </c>
      <c r="AR69" s="17"/>
      <c r="AS69" s="17">
        <v>0</v>
      </c>
      <c r="AT69" s="17"/>
      <c r="AU69" s="35">
        <f t="shared" si="4"/>
        <v>0</v>
      </c>
      <c r="AV69" s="17"/>
      <c r="AW69" s="81" t="s">
        <v>60</v>
      </c>
      <c r="AX69" s="17"/>
      <c r="AY69" s="24">
        <v>0</v>
      </c>
      <c r="AZ69" s="17"/>
      <c r="BA69" s="24">
        <v>0</v>
      </c>
      <c r="BB69" s="17"/>
      <c r="BC69" s="24">
        <v>0</v>
      </c>
      <c r="BD69" s="17"/>
      <c r="BE69" s="24">
        <v>0</v>
      </c>
      <c r="BF69" s="17"/>
      <c r="BG69" s="35">
        <f t="shared" si="13"/>
        <v>0</v>
      </c>
      <c r="BH69" s="79"/>
    </row>
    <row r="70" spans="1:60" ht="12.75" hidden="1">
      <c r="A70" s="77" t="s">
        <v>97</v>
      </c>
      <c r="B70" s="96"/>
      <c r="C70" s="35">
        <f t="shared" si="12"/>
        <v>0</v>
      </c>
      <c r="D70" s="35"/>
      <c r="E70" s="24">
        <v>0</v>
      </c>
      <c r="F70" s="35"/>
      <c r="G70" s="24">
        <v>0</v>
      </c>
      <c r="H70" s="35"/>
      <c r="I70" s="35">
        <f t="shared" si="0"/>
        <v>0</v>
      </c>
      <c r="J70" s="35"/>
      <c r="K70" s="24">
        <v>0</v>
      </c>
      <c r="L70" s="35"/>
      <c r="M70" s="24">
        <v>0</v>
      </c>
      <c r="N70" s="35"/>
      <c r="O70" s="24">
        <v>0</v>
      </c>
      <c r="P70" s="35"/>
      <c r="Q70" s="24">
        <v>0</v>
      </c>
      <c r="R70" s="35"/>
      <c r="S70" s="24">
        <v>0</v>
      </c>
      <c r="T70" s="35"/>
      <c r="U70" s="35">
        <f t="shared" si="1"/>
        <v>0</v>
      </c>
      <c r="V70" s="35"/>
      <c r="W70" s="81" t="s">
        <v>97</v>
      </c>
      <c r="X70" s="35"/>
      <c r="Y70" s="24">
        <v>0</v>
      </c>
      <c r="Z70" s="17"/>
      <c r="AA70" s="24">
        <v>0</v>
      </c>
      <c r="AB70" s="17"/>
      <c r="AC70" s="24">
        <v>0</v>
      </c>
      <c r="AD70" s="17"/>
      <c r="AE70" s="35">
        <f t="shared" si="2"/>
        <v>0</v>
      </c>
      <c r="AF70" s="40"/>
      <c r="AG70" s="24">
        <v>0</v>
      </c>
      <c r="AH70" s="40"/>
      <c r="AI70" s="24">
        <v>0</v>
      </c>
      <c r="AJ70" s="17"/>
      <c r="AK70" s="24">
        <v>0</v>
      </c>
      <c r="AL70" s="17"/>
      <c r="AM70" s="24">
        <v>0</v>
      </c>
      <c r="AN70" s="17"/>
      <c r="AO70" s="35">
        <f t="shared" si="3"/>
        <v>0</v>
      </c>
      <c r="AP70" s="40"/>
      <c r="AQ70" s="17">
        <v>0</v>
      </c>
      <c r="AR70" s="17"/>
      <c r="AS70" s="17">
        <v>0</v>
      </c>
      <c r="AT70" s="17"/>
      <c r="AU70" s="35">
        <f t="shared" si="4"/>
        <v>0</v>
      </c>
      <c r="AV70" s="17"/>
      <c r="AW70" s="81" t="s">
        <v>97</v>
      </c>
      <c r="AX70" s="17"/>
      <c r="AY70" s="24">
        <v>0</v>
      </c>
      <c r="AZ70" s="17"/>
      <c r="BA70" s="24">
        <v>0</v>
      </c>
      <c r="BB70" s="17"/>
      <c r="BC70" s="24">
        <v>0</v>
      </c>
      <c r="BD70" s="17"/>
      <c r="BE70" s="24">
        <v>0</v>
      </c>
      <c r="BF70" s="17"/>
      <c r="BG70" s="35">
        <f t="shared" si="13"/>
        <v>0</v>
      </c>
      <c r="BH70" s="79"/>
    </row>
    <row r="71" spans="1:60" ht="12.75" hidden="1">
      <c r="A71" s="77" t="s">
        <v>61</v>
      </c>
      <c r="B71" s="96"/>
      <c r="C71" s="35">
        <f t="shared" si="12"/>
        <v>0</v>
      </c>
      <c r="D71" s="35"/>
      <c r="E71" s="24">
        <v>0</v>
      </c>
      <c r="F71" s="35"/>
      <c r="G71" s="24">
        <v>0</v>
      </c>
      <c r="H71" s="35"/>
      <c r="I71" s="35">
        <f t="shared" si="0"/>
        <v>0</v>
      </c>
      <c r="J71" s="35"/>
      <c r="K71" s="24">
        <v>0</v>
      </c>
      <c r="L71" s="35"/>
      <c r="M71" s="24">
        <v>0</v>
      </c>
      <c r="N71" s="35"/>
      <c r="O71" s="24">
        <v>0</v>
      </c>
      <c r="P71" s="35"/>
      <c r="Q71" s="24">
        <v>0</v>
      </c>
      <c r="R71" s="35"/>
      <c r="S71" s="24">
        <v>0</v>
      </c>
      <c r="T71" s="35"/>
      <c r="U71" s="35">
        <f t="shared" si="1"/>
        <v>0</v>
      </c>
      <c r="V71" s="96"/>
      <c r="W71" s="81" t="s">
        <v>61</v>
      </c>
      <c r="X71" s="96"/>
      <c r="Y71" s="24">
        <v>0</v>
      </c>
      <c r="Z71" s="17"/>
      <c r="AA71" s="24">
        <v>0</v>
      </c>
      <c r="AB71" s="17"/>
      <c r="AC71" s="24">
        <v>0</v>
      </c>
      <c r="AD71" s="17"/>
      <c r="AE71" s="35">
        <f t="shared" si="2"/>
        <v>0</v>
      </c>
      <c r="AF71" s="40"/>
      <c r="AG71" s="24">
        <v>0</v>
      </c>
      <c r="AH71" s="40"/>
      <c r="AI71" s="24">
        <v>0</v>
      </c>
      <c r="AJ71" s="17"/>
      <c r="AK71" s="24">
        <v>0</v>
      </c>
      <c r="AL71" s="17"/>
      <c r="AM71" s="24">
        <v>0</v>
      </c>
      <c r="AN71" s="17"/>
      <c r="AO71" s="35">
        <f t="shared" si="3"/>
        <v>0</v>
      </c>
      <c r="AP71" s="40"/>
      <c r="AQ71" s="17">
        <v>0</v>
      </c>
      <c r="AR71" s="17"/>
      <c r="AS71" s="17">
        <v>0</v>
      </c>
      <c r="AT71" s="17"/>
      <c r="AU71" s="35">
        <f t="shared" si="4"/>
        <v>0</v>
      </c>
      <c r="AV71" s="96"/>
      <c r="AW71" s="81" t="s">
        <v>61</v>
      </c>
      <c r="AX71" s="96"/>
      <c r="AY71" s="24">
        <v>0</v>
      </c>
      <c r="AZ71" s="17"/>
      <c r="BA71" s="24">
        <v>0</v>
      </c>
      <c r="BB71" s="17"/>
      <c r="BC71" s="24">
        <v>0</v>
      </c>
      <c r="BD71" s="17"/>
      <c r="BE71" s="24">
        <v>0</v>
      </c>
      <c r="BF71" s="17"/>
      <c r="BG71" s="35">
        <f t="shared" si="13"/>
        <v>0</v>
      </c>
      <c r="BH71" s="79"/>
    </row>
    <row r="72" spans="1:60" ht="12.75" hidden="1">
      <c r="A72" s="77" t="s">
        <v>62</v>
      </c>
      <c r="B72" s="96"/>
      <c r="C72" s="35">
        <f t="shared" si="12"/>
        <v>0</v>
      </c>
      <c r="D72" s="35"/>
      <c r="E72" s="24">
        <v>0</v>
      </c>
      <c r="F72" s="35"/>
      <c r="G72" s="24">
        <v>0</v>
      </c>
      <c r="H72" s="35"/>
      <c r="I72" s="35">
        <f t="shared" si="0"/>
        <v>0</v>
      </c>
      <c r="J72" s="35"/>
      <c r="K72" s="24">
        <v>0</v>
      </c>
      <c r="L72" s="35"/>
      <c r="M72" s="24">
        <v>0</v>
      </c>
      <c r="N72" s="35"/>
      <c r="O72" s="24">
        <v>0</v>
      </c>
      <c r="P72" s="35"/>
      <c r="Q72" s="24">
        <v>0</v>
      </c>
      <c r="R72" s="35"/>
      <c r="S72" s="24">
        <v>0</v>
      </c>
      <c r="T72" s="35"/>
      <c r="U72" s="35">
        <f t="shared" si="1"/>
        <v>0</v>
      </c>
      <c r="V72" s="96"/>
      <c r="W72" s="81" t="s">
        <v>62</v>
      </c>
      <c r="X72" s="96"/>
      <c r="Y72" s="24">
        <v>0</v>
      </c>
      <c r="Z72" s="17"/>
      <c r="AA72" s="24">
        <v>0</v>
      </c>
      <c r="AB72" s="17"/>
      <c r="AC72" s="24">
        <v>0</v>
      </c>
      <c r="AD72" s="17"/>
      <c r="AE72" s="35">
        <f t="shared" si="2"/>
        <v>0</v>
      </c>
      <c r="AF72" s="40"/>
      <c r="AG72" s="24">
        <v>0</v>
      </c>
      <c r="AH72" s="40"/>
      <c r="AI72" s="24">
        <v>0</v>
      </c>
      <c r="AJ72" s="17"/>
      <c r="AK72" s="24">
        <v>0</v>
      </c>
      <c r="AL72" s="17"/>
      <c r="AM72" s="24">
        <v>0</v>
      </c>
      <c r="AN72" s="17"/>
      <c r="AO72" s="35">
        <f t="shared" si="3"/>
        <v>0</v>
      </c>
      <c r="AP72" s="40"/>
      <c r="AQ72" s="17">
        <v>0</v>
      </c>
      <c r="AR72" s="17"/>
      <c r="AS72" s="17">
        <v>0</v>
      </c>
      <c r="AT72" s="17"/>
      <c r="AU72" s="35">
        <f t="shared" si="4"/>
        <v>0</v>
      </c>
      <c r="AV72" s="96"/>
      <c r="AW72" s="81" t="s">
        <v>62</v>
      </c>
      <c r="AX72" s="96"/>
      <c r="AY72" s="24">
        <v>0</v>
      </c>
      <c r="AZ72" s="17"/>
      <c r="BA72" s="24">
        <v>0</v>
      </c>
      <c r="BB72" s="17"/>
      <c r="BC72" s="24">
        <v>0</v>
      </c>
      <c r="BD72" s="17"/>
      <c r="BE72" s="24">
        <v>0</v>
      </c>
      <c r="BF72" s="17"/>
      <c r="BG72" s="35">
        <f t="shared" si="13"/>
        <v>0</v>
      </c>
      <c r="BH72" s="79"/>
    </row>
    <row r="73" spans="1:60" ht="12.75" hidden="1">
      <c r="A73" s="77" t="s">
        <v>63</v>
      </c>
      <c r="B73" s="96"/>
      <c r="C73" s="35">
        <f t="shared" si="12"/>
        <v>0</v>
      </c>
      <c r="D73" s="35"/>
      <c r="E73" s="24">
        <v>0</v>
      </c>
      <c r="F73" s="35"/>
      <c r="G73" s="24">
        <v>0</v>
      </c>
      <c r="H73" s="35"/>
      <c r="I73" s="35">
        <f t="shared" si="0"/>
        <v>0</v>
      </c>
      <c r="J73" s="35"/>
      <c r="K73" s="24">
        <v>0</v>
      </c>
      <c r="L73" s="35"/>
      <c r="M73" s="24">
        <v>0</v>
      </c>
      <c r="N73" s="35"/>
      <c r="O73" s="24">
        <v>0</v>
      </c>
      <c r="P73" s="35"/>
      <c r="Q73" s="24">
        <v>0</v>
      </c>
      <c r="R73" s="35"/>
      <c r="S73" s="24">
        <v>0</v>
      </c>
      <c r="T73" s="35"/>
      <c r="U73" s="35">
        <f t="shared" si="1"/>
        <v>0</v>
      </c>
      <c r="V73" s="96"/>
      <c r="W73" s="81" t="s">
        <v>63</v>
      </c>
      <c r="X73" s="96"/>
      <c r="Y73" s="24">
        <v>0</v>
      </c>
      <c r="Z73" s="17"/>
      <c r="AA73" s="24">
        <v>0</v>
      </c>
      <c r="AB73" s="17"/>
      <c r="AC73" s="24">
        <v>0</v>
      </c>
      <c r="AD73" s="17"/>
      <c r="AE73" s="35">
        <f t="shared" si="2"/>
        <v>0</v>
      </c>
      <c r="AF73" s="40"/>
      <c r="AG73" s="24">
        <v>0</v>
      </c>
      <c r="AH73" s="40"/>
      <c r="AI73" s="24">
        <v>0</v>
      </c>
      <c r="AJ73" s="17"/>
      <c r="AK73" s="24">
        <v>0</v>
      </c>
      <c r="AL73" s="17"/>
      <c r="AM73" s="24">
        <v>0</v>
      </c>
      <c r="AN73" s="17"/>
      <c r="AO73" s="35">
        <f t="shared" si="3"/>
        <v>0</v>
      </c>
      <c r="AP73" s="40"/>
      <c r="AQ73" s="17">
        <v>0</v>
      </c>
      <c r="AR73" s="17"/>
      <c r="AS73" s="17">
        <v>0</v>
      </c>
      <c r="AT73" s="17"/>
      <c r="AU73" s="35">
        <f t="shared" si="4"/>
        <v>0</v>
      </c>
      <c r="AV73" s="96"/>
      <c r="AW73" s="81" t="s">
        <v>63</v>
      </c>
      <c r="AX73" s="96"/>
      <c r="AY73" s="24">
        <v>0</v>
      </c>
      <c r="AZ73" s="17"/>
      <c r="BA73" s="24">
        <v>0</v>
      </c>
      <c r="BB73" s="17"/>
      <c r="BC73" s="24">
        <v>0</v>
      </c>
      <c r="BD73" s="17"/>
      <c r="BE73" s="24">
        <v>0</v>
      </c>
      <c r="BF73" s="17"/>
      <c r="BG73" s="35">
        <f t="shared" si="13"/>
        <v>0</v>
      </c>
      <c r="BH73" s="79"/>
    </row>
    <row r="74" spans="1:60" ht="12.75" hidden="1">
      <c r="A74" s="77" t="s">
        <v>132</v>
      </c>
      <c r="B74" s="96"/>
      <c r="C74" s="35">
        <f t="shared" si="12"/>
        <v>0</v>
      </c>
      <c r="D74" s="35"/>
      <c r="E74" s="24">
        <v>0</v>
      </c>
      <c r="F74" s="35"/>
      <c r="G74" s="24">
        <v>0</v>
      </c>
      <c r="H74" s="35"/>
      <c r="I74" s="35">
        <f t="shared" si="0"/>
        <v>0</v>
      </c>
      <c r="J74" s="35"/>
      <c r="K74" s="24">
        <v>0</v>
      </c>
      <c r="L74" s="35"/>
      <c r="M74" s="24">
        <v>0</v>
      </c>
      <c r="N74" s="35"/>
      <c r="O74" s="24">
        <v>0</v>
      </c>
      <c r="P74" s="35"/>
      <c r="Q74" s="24">
        <v>0</v>
      </c>
      <c r="R74" s="35"/>
      <c r="S74" s="24">
        <v>0</v>
      </c>
      <c r="T74" s="35"/>
      <c r="U74" s="35">
        <f t="shared" si="1"/>
        <v>0</v>
      </c>
      <c r="V74" s="96"/>
      <c r="W74" s="81" t="s">
        <v>132</v>
      </c>
      <c r="X74" s="96"/>
      <c r="Y74" s="24">
        <v>0</v>
      </c>
      <c r="Z74" s="17"/>
      <c r="AA74" s="24">
        <v>0</v>
      </c>
      <c r="AB74" s="17"/>
      <c r="AC74" s="24">
        <v>0</v>
      </c>
      <c r="AD74" s="17"/>
      <c r="AE74" s="35">
        <f t="shared" si="2"/>
        <v>0</v>
      </c>
      <c r="AF74" s="40"/>
      <c r="AG74" s="24">
        <v>0</v>
      </c>
      <c r="AH74" s="40"/>
      <c r="AI74" s="24">
        <v>0</v>
      </c>
      <c r="AJ74" s="17"/>
      <c r="AK74" s="24">
        <v>0</v>
      </c>
      <c r="AL74" s="17"/>
      <c r="AM74" s="24">
        <v>0</v>
      </c>
      <c r="AN74" s="17"/>
      <c r="AO74" s="35">
        <f t="shared" si="3"/>
        <v>0</v>
      </c>
      <c r="AP74" s="40"/>
      <c r="AQ74" s="17">
        <v>0</v>
      </c>
      <c r="AR74" s="17"/>
      <c r="AS74" s="17">
        <v>0</v>
      </c>
      <c r="AT74" s="17"/>
      <c r="AU74" s="35">
        <f t="shared" si="4"/>
        <v>0</v>
      </c>
      <c r="AV74" s="96"/>
      <c r="AW74" s="81" t="s">
        <v>132</v>
      </c>
      <c r="AX74" s="96"/>
      <c r="AY74" s="24">
        <v>0</v>
      </c>
      <c r="AZ74" s="17"/>
      <c r="BA74" s="24">
        <v>0</v>
      </c>
      <c r="BB74" s="17"/>
      <c r="BC74" s="24">
        <v>0</v>
      </c>
      <c r="BD74" s="17"/>
      <c r="BE74" s="24">
        <v>0</v>
      </c>
      <c r="BF74" s="17"/>
      <c r="BG74" s="35">
        <f t="shared" si="13"/>
        <v>0</v>
      </c>
      <c r="BH74" s="79"/>
    </row>
    <row r="75" spans="1:60" ht="12.75" hidden="1">
      <c r="A75" s="77" t="s">
        <v>64</v>
      </c>
      <c r="B75" s="96"/>
      <c r="C75" s="35">
        <f t="shared" si="12"/>
        <v>0</v>
      </c>
      <c r="D75" s="35"/>
      <c r="E75" s="24">
        <v>0</v>
      </c>
      <c r="F75" s="35"/>
      <c r="G75" s="24">
        <v>0</v>
      </c>
      <c r="H75" s="35"/>
      <c r="I75" s="35">
        <f t="shared" si="0"/>
        <v>0</v>
      </c>
      <c r="J75" s="35"/>
      <c r="K75" s="24">
        <v>0</v>
      </c>
      <c r="L75" s="35"/>
      <c r="M75" s="24">
        <v>0</v>
      </c>
      <c r="N75" s="35"/>
      <c r="O75" s="24">
        <v>0</v>
      </c>
      <c r="P75" s="35"/>
      <c r="Q75" s="24">
        <v>0</v>
      </c>
      <c r="R75" s="35"/>
      <c r="S75" s="24">
        <v>0</v>
      </c>
      <c r="T75" s="35"/>
      <c r="U75" s="35">
        <f t="shared" si="1"/>
        <v>0</v>
      </c>
      <c r="V75" s="96"/>
      <c r="W75" s="81" t="s">
        <v>64</v>
      </c>
      <c r="X75" s="96"/>
      <c r="Y75" s="24">
        <v>0</v>
      </c>
      <c r="Z75" s="17"/>
      <c r="AA75" s="24">
        <v>0</v>
      </c>
      <c r="AB75" s="17"/>
      <c r="AC75" s="24">
        <v>0</v>
      </c>
      <c r="AD75" s="17"/>
      <c r="AE75" s="35">
        <f t="shared" si="2"/>
        <v>0</v>
      </c>
      <c r="AF75" s="40"/>
      <c r="AG75" s="24">
        <v>0</v>
      </c>
      <c r="AH75" s="40"/>
      <c r="AI75" s="24">
        <v>0</v>
      </c>
      <c r="AJ75" s="17"/>
      <c r="AK75" s="24">
        <v>0</v>
      </c>
      <c r="AL75" s="17"/>
      <c r="AM75" s="24">
        <v>0</v>
      </c>
      <c r="AN75" s="17"/>
      <c r="AO75" s="35">
        <f t="shared" si="3"/>
        <v>0</v>
      </c>
      <c r="AP75" s="40"/>
      <c r="AQ75" s="17">
        <v>0</v>
      </c>
      <c r="AR75" s="17"/>
      <c r="AS75" s="17">
        <v>0</v>
      </c>
      <c r="AT75" s="17"/>
      <c r="AU75" s="35">
        <f t="shared" si="4"/>
        <v>0</v>
      </c>
      <c r="AV75" s="96"/>
      <c r="AW75" s="81" t="s">
        <v>64</v>
      </c>
      <c r="AX75" s="96"/>
      <c r="AY75" s="24">
        <v>0</v>
      </c>
      <c r="AZ75" s="17"/>
      <c r="BA75" s="24">
        <v>0</v>
      </c>
      <c r="BB75" s="17"/>
      <c r="BC75" s="24">
        <v>0</v>
      </c>
      <c r="BD75" s="17"/>
      <c r="BE75" s="24">
        <v>0</v>
      </c>
      <c r="BF75" s="17"/>
      <c r="BG75" s="35">
        <f t="shared" si="13"/>
        <v>0</v>
      </c>
      <c r="BH75" s="79"/>
    </row>
    <row r="76" spans="1:60" ht="12.75" hidden="1">
      <c r="A76" s="77" t="s">
        <v>65</v>
      </c>
      <c r="B76" s="96"/>
      <c r="C76" s="35">
        <f t="shared" si="12"/>
        <v>0</v>
      </c>
      <c r="D76" s="35"/>
      <c r="E76" s="24">
        <v>0</v>
      </c>
      <c r="F76" s="35"/>
      <c r="G76" s="24">
        <v>0</v>
      </c>
      <c r="H76" s="35"/>
      <c r="I76" s="35">
        <f t="shared" si="0"/>
        <v>0</v>
      </c>
      <c r="J76" s="35"/>
      <c r="K76" s="24">
        <v>0</v>
      </c>
      <c r="L76" s="35"/>
      <c r="M76" s="24">
        <v>0</v>
      </c>
      <c r="N76" s="35"/>
      <c r="O76" s="24">
        <v>0</v>
      </c>
      <c r="P76" s="35"/>
      <c r="Q76" s="24">
        <v>0</v>
      </c>
      <c r="R76" s="35"/>
      <c r="S76" s="24">
        <v>0</v>
      </c>
      <c r="T76" s="35"/>
      <c r="U76" s="35">
        <f t="shared" si="1"/>
        <v>0</v>
      </c>
      <c r="V76" s="96"/>
      <c r="W76" s="81" t="s">
        <v>65</v>
      </c>
      <c r="X76" s="96"/>
      <c r="Y76" s="24">
        <v>0</v>
      </c>
      <c r="Z76" s="17"/>
      <c r="AA76" s="24">
        <v>0</v>
      </c>
      <c r="AB76" s="17"/>
      <c r="AC76" s="24">
        <v>0</v>
      </c>
      <c r="AD76" s="17"/>
      <c r="AE76" s="35">
        <f t="shared" si="2"/>
        <v>0</v>
      </c>
      <c r="AF76" s="40"/>
      <c r="AG76" s="24">
        <v>0</v>
      </c>
      <c r="AH76" s="40"/>
      <c r="AI76" s="24">
        <v>0</v>
      </c>
      <c r="AJ76" s="17"/>
      <c r="AK76" s="24">
        <v>0</v>
      </c>
      <c r="AL76" s="17"/>
      <c r="AM76" s="24">
        <v>0</v>
      </c>
      <c r="AN76" s="17"/>
      <c r="AO76" s="35">
        <f t="shared" si="3"/>
        <v>0</v>
      </c>
      <c r="AP76" s="40"/>
      <c r="AQ76" s="17">
        <v>0</v>
      </c>
      <c r="AR76" s="17"/>
      <c r="AS76" s="17">
        <v>0</v>
      </c>
      <c r="AT76" s="17"/>
      <c r="AU76" s="35">
        <f t="shared" si="4"/>
        <v>0</v>
      </c>
      <c r="AV76" s="96"/>
      <c r="AW76" s="81" t="s">
        <v>65</v>
      </c>
      <c r="AX76" s="96"/>
      <c r="AY76" s="24">
        <v>0</v>
      </c>
      <c r="AZ76" s="17"/>
      <c r="BA76" s="24">
        <v>0</v>
      </c>
      <c r="BB76" s="17"/>
      <c r="BC76" s="24">
        <v>0</v>
      </c>
      <c r="BD76" s="17"/>
      <c r="BE76" s="24">
        <v>0</v>
      </c>
      <c r="BF76" s="17"/>
      <c r="BG76" s="35">
        <f t="shared" si="13"/>
        <v>0</v>
      </c>
      <c r="BH76" s="79"/>
    </row>
    <row r="77" spans="1:60" ht="12.75" hidden="1">
      <c r="A77" s="77" t="s">
        <v>66</v>
      </c>
      <c r="B77" s="96"/>
      <c r="C77" s="35">
        <f t="shared" si="12"/>
        <v>0</v>
      </c>
      <c r="D77" s="35"/>
      <c r="E77" s="24">
        <v>0</v>
      </c>
      <c r="F77" s="35"/>
      <c r="G77" s="24">
        <v>0</v>
      </c>
      <c r="H77" s="35"/>
      <c r="I77" s="35">
        <f aca="true" t="shared" si="14" ref="I77:I98">M77-K77</f>
        <v>0</v>
      </c>
      <c r="J77" s="35"/>
      <c r="K77" s="24">
        <v>0</v>
      </c>
      <c r="L77" s="35"/>
      <c r="M77" s="24">
        <v>0</v>
      </c>
      <c r="N77" s="35"/>
      <c r="O77" s="24">
        <v>0</v>
      </c>
      <c r="P77" s="35"/>
      <c r="Q77" s="24">
        <v>0</v>
      </c>
      <c r="R77" s="35"/>
      <c r="S77" s="24">
        <v>0</v>
      </c>
      <c r="T77" s="35"/>
      <c r="U77" s="35">
        <f aca="true" t="shared" si="15" ref="U77:U98">SUM(O77:S77)</f>
        <v>0</v>
      </c>
      <c r="V77" s="96"/>
      <c r="W77" s="81" t="s">
        <v>66</v>
      </c>
      <c r="X77" s="96"/>
      <c r="Y77" s="24">
        <v>0</v>
      </c>
      <c r="Z77" s="17"/>
      <c r="AA77" s="24">
        <v>0</v>
      </c>
      <c r="AB77" s="17"/>
      <c r="AC77" s="24">
        <v>0</v>
      </c>
      <c r="AD77" s="17"/>
      <c r="AE77" s="35">
        <f aca="true" t="shared" si="16" ref="AE77:AE98">+Y77-AA77-AC77</f>
        <v>0</v>
      </c>
      <c r="AF77" s="40"/>
      <c r="AG77" s="24">
        <v>0</v>
      </c>
      <c r="AH77" s="40"/>
      <c r="AI77" s="24">
        <v>0</v>
      </c>
      <c r="AJ77" s="17"/>
      <c r="AK77" s="24">
        <v>0</v>
      </c>
      <c r="AL77" s="17"/>
      <c r="AM77" s="24">
        <v>0</v>
      </c>
      <c r="AN77" s="17"/>
      <c r="AO77" s="35">
        <f aca="true" t="shared" si="17" ref="AO77:AO98">+AE77+AG77+AI77-AK77+AM77</f>
        <v>0</v>
      </c>
      <c r="AP77" s="40"/>
      <c r="AQ77" s="17">
        <v>0</v>
      </c>
      <c r="AR77" s="17"/>
      <c r="AS77" s="17">
        <v>0</v>
      </c>
      <c r="AT77" s="17"/>
      <c r="AU77" s="35">
        <f aca="true" t="shared" si="18" ref="AU77:AU98">+C77-I77</f>
        <v>0</v>
      </c>
      <c r="AV77" s="96"/>
      <c r="AW77" s="81" t="s">
        <v>66</v>
      </c>
      <c r="AX77" s="96"/>
      <c r="AY77" s="24">
        <v>0</v>
      </c>
      <c r="AZ77" s="17"/>
      <c r="BA77" s="24">
        <v>0</v>
      </c>
      <c r="BB77" s="17"/>
      <c r="BC77" s="24">
        <v>0</v>
      </c>
      <c r="BD77" s="17"/>
      <c r="BE77" s="24">
        <v>0</v>
      </c>
      <c r="BF77" s="17"/>
      <c r="BG77" s="35">
        <f t="shared" si="13"/>
        <v>0</v>
      </c>
      <c r="BH77" s="79"/>
    </row>
    <row r="78" spans="1:60" ht="12.75" hidden="1">
      <c r="A78" s="77" t="s">
        <v>67</v>
      </c>
      <c r="B78" s="96"/>
      <c r="C78" s="35">
        <f t="shared" si="12"/>
        <v>0</v>
      </c>
      <c r="D78" s="35"/>
      <c r="E78" s="24">
        <v>0</v>
      </c>
      <c r="F78" s="35"/>
      <c r="G78" s="24">
        <v>0</v>
      </c>
      <c r="H78" s="35"/>
      <c r="I78" s="35">
        <f t="shared" si="14"/>
        <v>0</v>
      </c>
      <c r="J78" s="35"/>
      <c r="K78" s="24">
        <v>0</v>
      </c>
      <c r="L78" s="35"/>
      <c r="M78" s="24">
        <v>0</v>
      </c>
      <c r="N78" s="35"/>
      <c r="O78" s="24">
        <v>0</v>
      </c>
      <c r="P78" s="35"/>
      <c r="Q78" s="24">
        <v>0</v>
      </c>
      <c r="R78" s="35"/>
      <c r="S78" s="24">
        <v>0</v>
      </c>
      <c r="T78" s="35"/>
      <c r="U78" s="35">
        <f t="shared" si="15"/>
        <v>0</v>
      </c>
      <c r="V78" s="96"/>
      <c r="W78" s="81" t="s">
        <v>67</v>
      </c>
      <c r="X78" s="96"/>
      <c r="Y78" s="24">
        <v>0</v>
      </c>
      <c r="Z78" s="17"/>
      <c r="AA78" s="24">
        <v>0</v>
      </c>
      <c r="AB78" s="17"/>
      <c r="AC78" s="24">
        <v>0</v>
      </c>
      <c r="AD78" s="17"/>
      <c r="AE78" s="35">
        <f t="shared" si="16"/>
        <v>0</v>
      </c>
      <c r="AF78" s="40"/>
      <c r="AG78" s="24">
        <v>0</v>
      </c>
      <c r="AH78" s="40"/>
      <c r="AI78" s="24">
        <v>0</v>
      </c>
      <c r="AJ78" s="17"/>
      <c r="AK78" s="24">
        <v>0</v>
      </c>
      <c r="AL78" s="17"/>
      <c r="AM78" s="24">
        <v>0</v>
      </c>
      <c r="AN78" s="17"/>
      <c r="AO78" s="35">
        <f t="shared" si="17"/>
        <v>0</v>
      </c>
      <c r="AP78" s="40"/>
      <c r="AQ78" s="17">
        <v>0</v>
      </c>
      <c r="AR78" s="17"/>
      <c r="AS78" s="17">
        <v>0</v>
      </c>
      <c r="AT78" s="17"/>
      <c r="AU78" s="35">
        <f t="shared" si="18"/>
        <v>0</v>
      </c>
      <c r="AV78" s="96"/>
      <c r="AW78" s="81" t="s">
        <v>67</v>
      </c>
      <c r="AX78" s="96"/>
      <c r="AY78" s="24">
        <v>0</v>
      </c>
      <c r="AZ78" s="17"/>
      <c r="BA78" s="24">
        <v>0</v>
      </c>
      <c r="BB78" s="17"/>
      <c r="BC78" s="24">
        <v>0</v>
      </c>
      <c r="BD78" s="17"/>
      <c r="BE78" s="24">
        <v>0</v>
      </c>
      <c r="BF78" s="17"/>
      <c r="BG78" s="35">
        <f t="shared" si="13"/>
        <v>0</v>
      </c>
      <c r="BH78" s="79"/>
    </row>
    <row r="79" spans="1:60" ht="12.75">
      <c r="A79" s="77" t="s">
        <v>68</v>
      </c>
      <c r="B79" s="96"/>
      <c r="C79" s="35">
        <f>G79-E79</f>
        <v>2449822</v>
      </c>
      <c r="D79" s="35"/>
      <c r="E79" s="24">
        <v>3258407</v>
      </c>
      <c r="F79" s="35"/>
      <c r="G79" s="24">
        <v>5708229</v>
      </c>
      <c r="H79" s="35"/>
      <c r="I79" s="35">
        <f>M79-K79</f>
        <v>1539044</v>
      </c>
      <c r="J79" s="35"/>
      <c r="K79" s="24">
        <v>6153972</v>
      </c>
      <c r="L79" s="35"/>
      <c r="M79" s="24">
        <v>7693016</v>
      </c>
      <c r="N79" s="35"/>
      <c r="O79" s="24">
        <v>1371045</v>
      </c>
      <c r="P79" s="35"/>
      <c r="Q79" s="24">
        <v>0</v>
      </c>
      <c r="R79" s="35"/>
      <c r="S79" s="24">
        <v>-3355832</v>
      </c>
      <c r="T79" s="35"/>
      <c r="U79" s="35">
        <f t="shared" si="15"/>
        <v>-1984787</v>
      </c>
      <c r="V79" s="35"/>
      <c r="W79" s="81" t="s">
        <v>68</v>
      </c>
      <c r="X79" s="35"/>
      <c r="Y79" s="24">
        <v>2819658</v>
      </c>
      <c r="Z79" s="17"/>
      <c r="AA79" s="24">
        <f>2706968-81180</f>
        <v>2625788</v>
      </c>
      <c r="AB79" s="17"/>
      <c r="AC79" s="24">
        <v>81180</v>
      </c>
      <c r="AD79" s="17"/>
      <c r="AE79" s="35">
        <f t="shared" si="16"/>
        <v>112690</v>
      </c>
      <c r="AF79" s="40"/>
      <c r="AG79" s="24">
        <v>-104773</v>
      </c>
      <c r="AH79" s="40"/>
      <c r="AI79" s="24">
        <v>0</v>
      </c>
      <c r="AJ79" s="17"/>
      <c r="AK79" s="24">
        <v>0</v>
      </c>
      <c r="AL79" s="17"/>
      <c r="AM79" s="24">
        <v>0</v>
      </c>
      <c r="AN79" s="17"/>
      <c r="AO79" s="35">
        <f t="shared" si="17"/>
        <v>7917</v>
      </c>
      <c r="AP79" s="40"/>
      <c r="AQ79" s="17">
        <v>0</v>
      </c>
      <c r="AR79" s="17"/>
      <c r="AS79" s="17">
        <v>0</v>
      </c>
      <c r="AT79" s="17"/>
      <c r="AU79" s="35">
        <f t="shared" si="18"/>
        <v>910778</v>
      </c>
      <c r="AV79" s="17"/>
      <c r="AW79" s="81" t="s">
        <v>68</v>
      </c>
      <c r="AX79" s="17"/>
      <c r="AY79" s="24">
        <f>1665155</f>
        <v>1665155</v>
      </c>
      <c r="AZ79" s="17"/>
      <c r="BA79" s="24">
        <v>0</v>
      </c>
      <c r="BB79" s="17"/>
      <c r="BC79" s="24">
        <f>15820</f>
        <v>15820</v>
      </c>
      <c r="BD79" s="17"/>
      <c r="BE79" s="24">
        <f>108000+4888+4360109</f>
        <v>4472997</v>
      </c>
      <c r="BF79" s="17"/>
      <c r="BG79" s="35">
        <f t="shared" si="13"/>
        <v>6153972</v>
      </c>
      <c r="BH79" s="79"/>
    </row>
    <row r="80" spans="1:60" ht="12.75" hidden="1">
      <c r="A80" s="77" t="s">
        <v>176</v>
      </c>
      <c r="B80" s="96"/>
      <c r="C80" s="35">
        <f>G80-E80</f>
        <v>0</v>
      </c>
      <c r="D80" s="35"/>
      <c r="E80" s="24">
        <v>0</v>
      </c>
      <c r="F80" s="35"/>
      <c r="G80" s="24">
        <v>0</v>
      </c>
      <c r="H80" s="35"/>
      <c r="I80" s="35">
        <f t="shared" si="14"/>
        <v>0</v>
      </c>
      <c r="J80" s="35"/>
      <c r="K80" s="24">
        <v>0</v>
      </c>
      <c r="L80" s="35"/>
      <c r="M80" s="24">
        <v>0</v>
      </c>
      <c r="N80" s="35"/>
      <c r="O80" s="24">
        <v>0</v>
      </c>
      <c r="P80" s="35"/>
      <c r="Q80" s="24">
        <v>0</v>
      </c>
      <c r="R80" s="35"/>
      <c r="S80" s="24">
        <v>0</v>
      </c>
      <c r="T80" s="35"/>
      <c r="U80" s="35">
        <f t="shared" si="15"/>
        <v>0</v>
      </c>
      <c r="V80" s="96"/>
      <c r="W80" s="81" t="s">
        <v>176</v>
      </c>
      <c r="X80" s="96"/>
      <c r="Y80" s="24">
        <v>0</v>
      </c>
      <c r="Z80" s="17"/>
      <c r="AA80" s="24">
        <v>0</v>
      </c>
      <c r="AB80" s="17"/>
      <c r="AC80" s="24">
        <v>0</v>
      </c>
      <c r="AD80" s="17"/>
      <c r="AE80" s="35">
        <f t="shared" si="16"/>
        <v>0</v>
      </c>
      <c r="AF80" s="40"/>
      <c r="AG80" s="24">
        <v>0</v>
      </c>
      <c r="AH80" s="40"/>
      <c r="AI80" s="24">
        <v>0</v>
      </c>
      <c r="AJ80" s="17"/>
      <c r="AK80" s="24">
        <v>0</v>
      </c>
      <c r="AL80" s="17"/>
      <c r="AM80" s="24">
        <v>0</v>
      </c>
      <c r="AN80" s="17"/>
      <c r="AO80" s="35">
        <f t="shared" si="17"/>
        <v>0</v>
      </c>
      <c r="AP80" s="40"/>
      <c r="AQ80" s="17">
        <v>0</v>
      </c>
      <c r="AR80" s="17"/>
      <c r="AS80" s="17">
        <v>0</v>
      </c>
      <c r="AT80" s="17"/>
      <c r="AU80" s="35">
        <f t="shared" si="18"/>
        <v>0</v>
      </c>
      <c r="AV80" s="96"/>
      <c r="AW80" s="81" t="s">
        <v>176</v>
      </c>
      <c r="AX80" s="96"/>
      <c r="AY80" s="24">
        <v>0</v>
      </c>
      <c r="AZ80" s="17"/>
      <c r="BA80" s="24">
        <v>0</v>
      </c>
      <c r="BB80" s="17"/>
      <c r="BC80" s="24">
        <v>0</v>
      </c>
      <c r="BD80" s="17"/>
      <c r="BE80" s="24">
        <v>0</v>
      </c>
      <c r="BF80" s="17"/>
      <c r="BG80" s="35">
        <f t="shared" si="13"/>
        <v>0</v>
      </c>
      <c r="BH80" s="79"/>
    </row>
    <row r="81" spans="1:60" ht="12.75" hidden="1">
      <c r="A81" s="77" t="s">
        <v>133</v>
      </c>
      <c r="B81" s="96"/>
      <c r="C81" s="35">
        <f t="shared" si="12"/>
        <v>0</v>
      </c>
      <c r="D81" s="35"/>
      <c r="E81" s="24">
        <v>0</v>
      </c>
      <c r="F81" s="35"/>
      <c r="G81" s="24">
        <v>0</v>
      </c>
      <c r="H81" s="35"/>
      <c r="I81" s="35">
        <f t="shared" si="14"/>
        <v>0</v>
      </c>
      <c r="J81" s="35"/>
      <c r="K81" s="24">
        <v>0</v>
      </c>
      <c r="L81" s="35"/>
      <c r="M81" s="24">
        <v>0</v>
      </c>
      <c r="N81" s="35"/>
      <c r="O81" s="24">
        <v>0</v>
      </c>
      <c r="P81" s="35"/>
      <c r="Q81" s="24">
        <v>0</v>
      </c>
      <c r="R81" s="35"/>
      <c r="S81" s="24">
        <v>0</v>
      </c>
      <c r="T81" s="35"/>
      <c r="U81" s="35">
        <f t="shared" si="15"/>
        <v>0</v>
      </c>
      <c r="V81" s="96"/>
      <c r="W81" s="81" t="s">
        <v>133</v>
      </c>
      <c r="X81" s="96"/>
      <c r="Y81" s="24">
        <v>0</v>
      </c>
      <c r="Z81" s="17"/>
      <c r="AA81" s="24">
        <v>0</v>
      </c>
      <c r="AB81" s="17"/>
      <c r="AC81" s="24">
        <v>0</v>
      </c>
      <c r="AD81" s="17"/>
      <c r="AE81" s="35">
        <f t="shared" si="16"/>
        <v>0</v>
      </c>
      <c r="AF81" s="40"/>
      <c r="AG81" s="24">
        <v>0</v>
      </c>
      <c r="AH81" s="40"/>
      <c r="AI81" s="24">
        <v>0</v>
      </c>
      <c r="AJ81" s="17"/>
      <c r="AK81" s="24">
        <v>0</v>
      </c>
      <c r="AL81" s="17"/>
      <c r="AM81" s="24">
        <v>0</v>
      </c>
      <c r="AN81" s="17"/>
      <c r="AO81" s="35">
        <f t="shared" si="17"/>
        <v>0</v>
      </c>
      <c r="AP81" s="40"/>
      <c r="AQ81" s="17">
        <v>0</v>
      </c>
      <c r="AR81" s="17"/>
      <c r="AS81" s="17">
        <v>0</v>
      </c>
      <c r="AT81" s="17"/>
      <c r="AU81" s="35">
        <f t="shared" si="18"/>
        <v>0</v>
      </c>
      <c r="AV81" s="96"/>
      <c r="AW81" s="81" t="s">
        <v>133</v>
      </c>
      <c r="AX81" s="96"/>
      <c r="AY81" s="24">
        <v>0</v>
      </c>
      <c r="AZ81" s="17"/>
      <c r="BA81" s="24">
        <v>0</v>
      </c>
      <c r="BB81" s="17"/>
      <c r="BC81" s="24">
        <v>0</v>
      </c>
      <c r="BD81" s="17"/>
      <c r="BE81" s="24">
        <v>0</v>
      </c>
      <c r="BF81" s="17"/>
      <c r="BG81" s="35">
        <f t="shared" si="13"/>
        <v>0</v>
      </c>
      <c r="BH81" s="79"/>
    </row>
    <row r="82" spans="1:60" ht="12.75" hidden="1">
      <c r="A82" s="77" t="s">
        <v>69</v>
      </c>
      <c r="B82" s="96"/>
      <c r="C82" s="35">
        <f t="shared" si="12"/>
        <v>0</v>
      </c>
      <c r="D82" s="35"/>
      <c r="E82" s="24">
        <v>0</v>
      </c>
      <c r="F82" s="35"/>
      <c r="G82" s="24">
        <v>0</v>
      </c>
      <c r="H82" s="35"/>
      <c r="I82" s="35">
        <f t="shared" si="14"/>
        <v>0</v>
      </c>
      <c r="J82" s="35"/>
      <c r="K82" s="24">
        <v>0</v>
      </c>
      <c r="L82" s="35"/>
      <c r="M82" s="24">
        <v>0</v>
      </c>
      <c r="N82" s="35"/>
      <c r="O82" s="24">
        <v>0</v>
      </c>
      <c r="P82" s="35"/>
      <c r="Q82" s="24">
        <v>0</v>
      </c>
      <c r="R82" s="35"/>
      <c r="S82" s="24">
        <v>0</v>
      </c>
      <c r="T82" s="35"/>
      <c r="U82" s="35">
        <f t="shared" si="15"/>
        <v>0</v>
      </c>
      <c r="V82" s="96"/>
      <c r="W82" s="81" t="s">
        <v>69</v>
      </c>
      <c r="X82" s="96"/>
      <c r="Y82" s="24">
        <v>0</v>
      </c>
      <c r="Z82" s="17"/>
      <c r="AA82" s="24">
        <v>0</v>
      </c>
      <c r="AB82" s="17"/>
      <c r="AC82" s="24">
        <v>0</v>
      </c>
      <c r="AD82" s="17"/>
      <c r="AE82" s="35">
        <f t="shared" si="16"/>
        <v>0</v>
      </c>
      <c r="AF82" s="40"/>
      <c r="AG82" s="24">
        <v>0</v>
      </c>
      <c r="AH82" s="40"/>
      <c r="AI82" s="24">
        <v>0</v>
      </c>
      <c r="AJ82" s="17"/>
      <c r="AK82" s="24">
        <v>0</v>
      </c>
      <c r="AL82" s="17"/>
      <c r="AM82" s="24">
        <v>0</v>
      </c>
      <c r="AN82" s="17"/>
      <c r="AO82" s="35">
        <f t="shared" si="17"/>
        <v>0</v>
      </c>
      <c r="AP82" s="40"/>
      <c r="AQ82" s="17">
        <v>0</v>
      </c>
      <c r="AR82" s="17"/>
      <c r="AS82" s="17">
        <v>0</v>
      </c>
      <c r="AT82" s="17"/>
      <c r="AU82" s="35">
        <f t="shared" si="18"/>
        <v>0</v>
      </c>
      <c r="AV82" s="96"/>
      <c r="AW82" s="81" t="s">
        <v>69</v>
      </c>
      <c r="AX82" s="96"/>
      <c r="AY82" s="24">
        <v>0</v>
      </c>
      <c r="AZ82" s="17"/>
      <c r="BA82" s="24">
        <v>0</v>
      </c>
      <c r="BB82" s="17"/>
      <c r="BC82" s="24">
        <v>0</v>
      </c>
      <c r="BD82" s="17"/>
      <c r="BE82" s="24">
        <v>0</v>
      </c>
      <c r="BF82" s="17"/>
      <c r="BG82" s="35">
        <f t="shared" si="13"/>
        <v>0</v>
      </c>
      <c r="BH82" s="79"/>
    </row>
    <row r="83" spans="1:60" ht="12.75" hidden="1">
      <c r="A83" s="77" t="s">
        <v>98</v>
      </c>
      <c r="B83" s="96"/>
      <c r="C83" s="35">
        <f t="shared" si="12"/>
        <v>0</v>
      </c>
      <c r="D83" s="35"/>
      <c r="E83" s="24">
        <v>0</v>
      </c>
      <c r="F83" s="35"/>
      <c r="G83" s="24">
        <v>0</v>
      </c>
      <c r="H83" s="35"/>
      <c r="I83" s="35">
        <f t="shared" si="14"/>
        <v>0</v>
      </c>
      <c r="J83" s="35"/>
      <c r="K83" s="24">
        <v>0</v>
      </c>
      <c r="L83" s="35"/>
      <c r="M83" s="24">
        <v>0</v>
      </c>
      <c r="N83" s="35"/>
      <c r="O83" s="24">
        <v>0</v>
      </c>
      <c r="P83" s="35"/>
      <c r="Q83" s="24">
        <v>0</v>
      </c>
      <c r="R83" s="35"/>
      <c r="S83" s="24">
        <v>0</v>
      </c>
      <c r="T83" s="35"/>
      <c r="U83" s="35">
        <f t="shared" si="15"/>
        <v>0</v>
      </c>
      <c r="V83" s="96"/>
      <c r="W83" s="81" t="s">
        <v>98</v>
      </c>
      <c r="X83" s="96"/>
      <c r="Y83" s="24">
        <v>0</v>
      </c>
      <c r="Z83" s="17"/>
      <c r="AA83" s="24">
        <v>0</v>
      </c>
      <c r="AB83" s="17"/>
      <c r="AC83" s="24">
        <v>0</v>
      </c>
      <c r="AD83" s="17"/>
      <c r="AE83" s="35">
        <f t="shared" si="16"/>
        <v>0</v>
      </c>
      <c r="AF83" s="40"/>
      <c r="AG83" s="24">
        <v>0</v>
      </c>
      <c r="AH83" s="40"/>
      <c r="AI83" s="24">
        <v>0</v>
      </c>
      <c r="AJ83" s="17"/>
      <c r="AK83" s="24">
        <v>0</v>
      </c>
      <c r="AL83" s="17"/>
      <c r="AM83" s="24">
        <v>0</v>
      </c>
      <c r="AN83" s="17"/>
      <c r="AO83" s="35">
        <f t="shared" si="17"/>
        <v>0</v>
      </c>
      <c r="AP83" s="40"/>
      <c r="AQ83" s="17">
        <v>0</v>
      </c>
      <c r="AR83" s="17"/>
      <c r="AS83" s="17">
        <v>0</v>
      </c>
      <c r="AT83" s="17"/>
      <c r="AU83" s="35">
        <f t="shared" si="18"/>
        <v>0</v>
      </c>
      <c r="AV83" s="96"/>
      <c r="AW83" s="81" t="s">
        <v>98</v>
      </c>
      <c r="AX83" s="96"/>
      <c r="AY83" s="24">
        <v>0</v>
      </c>
      <c r="AZ83" s="17"/>
      <c r="BA83" s="24">
        <v>0</v>
      </c>
      <c r="BB83" s="17"/>
      <c r="BC83" s="24">
        <v>0</v>
      </c>
      <c r="BD83" s="17"/>
      <c r="BE83" s="24">
        <v>0</v>
      </c>
      <c r="BF83" s="17"/>
      <c r="BG83" s="35">
        <f t="shared" si="13"/>
        <v>0</v>
      </c>
      <c r="BH83" s="79"/>
    </row>
    <row r="84" spans="1:60" ht="12.75" hidden="1">
      <c r="A84" s="77" t="s">
        <v>70</v>
      </c>
      <c r="B84" s="96"/>
      <c r="C84" s="35">
        <f t="shared" si="12"/>
        <v>0</v>
      </c>
      <c r="D84" s="35"/>
      <c r="E84" s="24">
        <v>0</v>
      </c>
      <c r="F84" s="35"/>
      <c r="G84" s="24">
        <v>0</v>
      </c>
      <c r="H84" s="35"/>
      <c r="I84" s="35">
        <f t="shared" si="14"/>
        <v>0</v>
      </c>
      <c r="J84" s="35"/>
      <c r="K84" s="24">
        <v>0</v>
      </c>
      <c r="L84" s="35"/>
      <c r="M84" s="24">
        <v>0</v>
      </c>
      <c r="N84" s="35"/>
      <c r="O84" s="24">
        <v>0</v>
      </c>
      <c r="P84" s="35"/>
      <c r="Q84" s="24">
        <v>0</v>
      </c>
      <c r="R84" s="35"/>
      <c r="S84" s="24">
        <v>0</v>
      </c>
      <c r="T84" s="35"/>
      <c r="U84" s="35">
        <f t="shared" si="15"/>
        <v>0</v>
      </c>
      <c r="V84" s="96"/>
      <c r="W84" s="81" t="s">
        <v>70</v>
      </c>
      <c r="X84" s="96"/>
      <c r="Y84" s="24">
        <v>0</v>
      </c>
      <c r="Z84" s="17"/>
      <c r="AA84" s="24">
        <v>0</v>
      </c>
      <c r="AB84" s="17"/>
      <c r="AC84" s="24">
        <v>0</v>
      </c>
      <c r="AD84" s="17"/>
      <c r="AE84" s="35">
        <f t="shared" si="16"/>
        <v>0</v>
      </c>
      <c r="AF84" s="40"/>
      <c r="AG84" s="24">
        <v>0</v>
      </c>
      <c r="AH84" s="40"/>
      <c r="AI84" s="24">
        <v>0</v>
      </c>
      <c r="AJ84" s="17"/>
      <c r="AK84" s="24">
        <v>0</v>
      </c>
      <c r="AL84" s="17"/>
      <c r="AM84" s="24">
        <v>0</v>
      </c>
      <c r="AN84" s="17"/>
      <c r="AO84" s="35">
        <f t="shared" si="17"/>
        <v>0</v>
      </c>
      <c r="AP84" s="40"/>
      <c r="AQ84" s="17">
        <v>0</v>
      </c>
      <c r="AR84" s="17"/>
      <c r="AS84" s="17">
        <v>0</v>
      </c>
      <c r="AT84" s="17"/>
      <c r="AU84" s="35">
        <f t="shared" si="18"/>
        <v>0</v>
      </c>
      <c r="AV84" s="96"/>
      <c r="AW84" s="81" t="s">
        <v>70</v>
      </c>
      <c r="AX84" s="96"/>
      <c r="AY84" s="24">
        <v>0</v>
      </c>
      <c r="AZ84" s="17"/>
      <c r="BA84" s="24">
        <v>0</v>
      </c>
      <c r="BB84" s="17"/>
      <c r="BC84" s="24">
        <v>0</v>
      </c>
      <c r="BD84" s="17"/>
      <c r="BE84" s="24">
        <v>0</v>
      </c>
      <c r="BF84" s="17"/>
      <c r="BG84" s="35">
        <f t="shared" si="13"/>
        <v>0</v>
      </c>
      <c r="BH84" s="79"/>
    </row>
    <row r="85" spans="1:60" ht="12.75" hidden="1">
      <c r="A85" s="77" t="s">
        <v>71</v>
      </c>
      <c r="B85" s="96"/>
      <c r="C85" s="35">
        <f t="shared" si="12"/>
        <v>0</v>
      </c>
      <c r="D85" s="35"/>
      <c r="E85" s="24">
        <v>0</v>
      </c>
      <c r="F85" s="35"/>
      <c r="G85" s="24">
        <v>0</v>
      </c>
      <c r="H85" s="35"/>
      <c r="I85" s="35">
        <f t="shared" si="14"/>
        <v>0</v>
      </c>
      <c r="J85" s="35"/>
      <c r="K85" s="24">
        <v>0</v>
      </c>
      <c r="L85" s="35"/>
      <c r="M85" s="24">
        <v>0</v>
      </c>
      <c r="N85" s="35"/>
      <c r="O85" s="24">
        <v>0</v>
      </c>
      <c r="P85" s="35"/>
      <c r="Q85" s="24">
        <v>0</v>
      </c>
      <c r="R85" s="35"/>
      <c r="S85" s="24">
        <v>0</v>
      </c>
      <c r="T85" s="35"/>
      <c r="U85" s="35">
        <f t="shared" si="15"/>
        <v>0</v>
      </c>
      <c r="V85" s="96"/>
      <c r="W85" s="81" t="s">
        <v>71</v>
      </c>
      <c r="X85" s="96"/>
      <c r="Y85" s="24">
        <v>0</v>
      </c>
      <c r="Z85" s="17"/>
      <c r="AA85" s="24">
        <v>0</v>
      </c>
      <c r="AB85" s="17"/>
      <c r="AC85" s="24">
        <v>0</v>
      </c>
      <c r="AD85" s="17"/>
      <c r="AE85" s="35">
        <f t="shared" si="16"/>
        <v>0</v>
      </c>
      <c r="AF85" s="40"/>
      <c r="AG85" s="24">
        <v>0</v>
      </c>
      <c r="AH85" s="40"/>
      <c r="AI85" s="24">
        <v>0</v>
      </c>
      <c r="AJ85" s="17"/>
      <c r="AK85" s="24">
        <v>0</v>
      </c>
      <c r="AL85" s="17"/>
      <c r="AM85" s="24">
        <v>0</v>
      </c>
      <c r="AN85" s="17"/>
      <c r="AO85" s="35">
        <f t="shared" si="17"/>
        <v>0</v>
      </c>
      <c r="AP85" s="40"/>
      <c r="AQ85" s="17">
        <v>0</v>
      </c>
      <c r="AR85" s="17"/>
      <c r="AS85" s="17">
        <v>0</v>
      </c>
      <c r="AT85" s="17"/>
      <c r="AU85" s="35">
        <f t="shared" si="18"/>
        <v>0</v>
      </c>
      <c r="AV85" s="96"/>
      <c r="AW85" s="81" t="s">
        <v>71</v>
      </c>
      <c r="AX85" s="96"/>
      <c r="AY85" s="24">
        <v>0</v>
      </c>
      <c r="AZ85" s="17"/>
      <c r="BA85" s="24">
        <v>0</v>
      </c>
      <c r="BB85" s="17"/>
      <c r="BC85" s="24">
        <v>0</v>
      </c>
      <c r="BD85" s="17"/>
      <c r="BE85" s="24">
        <v>0</v>
      </c>
      <c r="BF85" s="17"/>
      <c r="BG85" s="35">
        <f t="shared" si="13"/>
        <v>0</v>
      </c>
      <c r="BH85" s="79"/>
    </row>
    <row r="86" spans="1:60" ht="12.75" hidden="1">
      <c r="A86" s="77" t="s">
        <v>72</v>
      </c>
      <c r="B86" s="96"/>
      <c r="C86" s="35">
        <f t="shared" si="12"/>
        <v>0</v>
      </c>
      <c r="D86" s="35"/>
      <c r="E86" s="24">
        <v>0</v>
      </c>
      <c r="F86" s="35"/>
      <c r="G86" s="24">
        <v>0</v>
      </c>
      <c r="H86" s="35"/>
      <c r="I86" s="35">
        <f t="shared" si="14"/>
        <v>0</v>
      </c>
      <c r="J86" s="35"/>
      <c r="K86" s="24">
        <v>0</v>
      </c>
      <c r="L86" s="35"/>
      <c r="M86" s="24">
        <v>0</v>
      </c>
      <c r="N86" s="35"/>
      <c r="O86" s="24">
        <v>0</v>
      </c>
      <c r="P86" s="35"/>
      <c r="Q86" s="24">
        <v>0</v>
      </c>
      <c r="R86" s="35"/>
      <c r="S86" s="24">
        <v>0</v>
      </c>
      <c r="T86" s="35"/>
      <c r="U86" s="35">
        <f t="shared" si="15"/>
        <v>0</v>
      </c>
      <c r="V86" s="35"/>
      <c r="W86" s="81" t="s">
        <v>72</v>
      </c>
      <c r="X86" s="35"/>
      <c r="Y86" s="24">
        <v>0</v>
      </c>
      <c r="Z86" s="17"/>
      <c r="AA86" s="24">
        <v>0</v>
      </c>
      <c r="AB86" s="17"/>
      <c r="AC86" s="24">
        <v>0</v>
      </c>
      <c r="AD86" s="17"/>
      <c r="AE86" s="35">
        <f t="shared" si="16"/>
        <v>0</v>
      </c>
      <c r="AF86" s="40"/>
      <c r="AG86" s="24">
        <v>0</v>
      </c>
      <c r="AH86" s="40"/>
      <c r="AI86" s="24">
        <v>0</v>
      </c>
      <c r="AJ86" s="17"/>
      <c r="AK86" s="24">
        <v>0</v>
      </c>
      <c r="AL86" s="17"/>
      <c r="AM86" s="24">
        <v>0</v>
      </c>
      <c r="AN86" s="17"/>
      <c r="AO86" s="35">
        <f t="shared" si="17"/>
        <v>0</v>
      </c>
      <c r="AP86" s="40"/>
      <c r="AQ86" s="17">
        <v>0</v>
      </c>
      <c r="AR86" s="17"/>
      <c r="AS86" s="17">
        <v>0</v>
      </c>
      <c r="AT86" s="17"/>
      <c r="AU86" s="35">
        <f t="shared" si="18"/>
        <v>0</v>
      </c>
      <c r="AV86" s="17"/>
      <c r="AW86" s="81" t="s">
        <v>72</v>
      </c>
      <c r="AX86" s="17"/>
      <c r="AY86" s="24">
        <v>0</v>
      </c>
      <c r="AZ86" s="17"/>
      <c r="BA86" s="24">
        <v>0</v>
      </c>
      <c r="BB86" s="17"/>
      <c r="BC86" s="24">
        <v>0</v>
      </c>
      <c r="BD86" s="17"/>
      <c r="BE86" s="24">
        <v>0</v>
      </c>
      <c r="BF86" s="17"/>
      <c r="BG86" s="35">
        <f t="shared" si="13"/>
        <v>0</v>
      </c>
      <c r="BH86" s="79"/>
    </row>
    <row r="87" spans="1:60" ht="12.75" hidden="1">
      <c r="A87" s="77" t="s">
        <v>73</v>
      </c>
      <c r="B87" s="96"/>
      <c r="C87" s="35">
        <f t="shared" si="12"/>
        <v>0</v>
      </c>
      <c r="D87" s="35"/>
      <c r="E87" s="24">
        <v>0</v>
      </c>
      <c r="F87" s="35"/>
      <c r="G87" s="24">
        <v>0</v>
      </c>
      <c r="H87" s="35"/>
      <c r="I87" s="35">
        <f t="shared" si="14"/>
        <v>0</v>
      </c>
      <c r="J87" s="35"/>
      <c r="K87" s="24">
        <v>0</v>
      </c>
      <c r="L87" s="35"/>
      <c r="M87" s="24">
        <v>0</v>
      </c>
      <c r="N87" s="35"/>
      <c r="O87" s="24">
        <v>0</v>
      </c>
      <c r="P87" s="35"/>
      <c r="Q87" s="24">
        <v>0</v>
      </c>
      <c r="R87" s="35"/>
      <c r="S87" s="24">
        <v>0</v>
      </c>
      <c r="T87" s="35"/>
      <c r="U87" s="35">
        <f t="shared" si="15"/>
        <v>0</v>
      </c>
      <c r="V87" s="96"/>
      <c r="W87" s="81" t="s">
        <v>73</v>
      </c>
      <c r="X87" s="96"/>
      <c r="Y87" s="24">
        <v>0</v>
      </c>
      <c r="Z87" s="17"/>
      <c r="AA87" s="24">
        <v>0</v>
      </c>
      <c r="AB87" s="17"/>
      <c r="AC87" s="24">
        <v>0</v>
      </c>
      <c r="AD87" s="17"/>
      <c r="AE87" s="35">
        <f t="shared" si="16"/>
        <v>0</v>
      </c>
      <c r="AF87" s="40"/>
      <c r="AG87" s="24">
        <v>0</v>
      </c>
      <c r="AH87" s="40"/>
      <c r="AI87" s="24">
        <v>0</v>
      </c>
      <c r="AJ87" s="17"/>
      <c r="AK87" s="24">
        <v>0</v>
      </c>
      <c r="AL87" s="17"/>
      <c r="AM87" s="24">
        <v>0</v>
      </c>
      <c r="AN87" s="17"/>
      <c r="AO87" s="35">
        <f t="shared" si="17"/>
        <v>0</v>
      </c>
      <c r="AP87" s="40"/>
      <c r="AQ87" s="17">
        <v>0</v>
      </c>
      <c r="AR87" s="17"/>
      <c r="AS87" s="17">
        <v>0</v>
      </c>
      <c r="AT87" s="17"/>
      <c r="AU87" s="35">
        <f t="shared" si="18"/>
        <v>0</v>
      </c>
      <c r="AV87" s="96"/>
      <c r="AW87" s="81" t="s">
        <v>73</v>
      </c>
      <c r="AX87" s="96"/>
      <c r="AY87" s="24">
        <v>0</v>
      </c>
      <c r="AZ87" s="17"/>
      <c r="BA87" s="24">
        <v>0</v>
      </c>
      <c r="BB87" s="17"/>
      <c r="BC87" s="24">
        <v>0</v>
      </c>
      <c r="BD87" s="17"/>
      <c r="BE87" s="24">
        <v>0</v>
      </c>
      <c r="BF87" s="17"/>
      <c r="BG87" s="35">
        <f t="shared" si="13"/>
        <v>0</v>
      </c>
      <c r="BH87" s="79"/>
    </row>
    <row r="88" spans="1:60" ht="12.75" hidden="1">
      <c r="A88" s="77" t="s">
        <v>74</v>
      </c>
      <c r="B88" s="96"/>
      <c r="C88" s="35">
        <f t="shared" si="12"/>
        <v>0</v>
      </c>
      <c r="D88" s="35"/>
      <c r="E88" s="24">
        <v>0</v>
      </c>
      <c r="F88" s="35"/>
      <c r="G88" s="24">
        <v>0</v>
      </c>
      <c r="H88" s="35"/>
      <c r="I88" s="35">
        <f t="shared" si="14"/>
        <v>0</v>
      </c>
      <c r="J88" s="35"/>
      <c r="K88" s="24">
        <v>0</v>
      </c>
      <c r="L88" s="35"/>
      <c r="M88" s="24">
        <v>0</v>
      </c>
      <c r="N88" s="35"/>
      <c r="O88" s="24">
        <v>0</v>
      </c>
      <c r="P88" s="35"/>
      <c r="Q88" s="24">
        <v>0</v>
      </c>
      <c r="R88" s="35"/>
      <c r="S88" s="24">
        <v>0</v>
      </c>
      <c r="T88" s="35"/>
      <c r="U88" s="35">
        <f t="shared" si="15"/>
        <v>0</v>
      </c>
      <c r="V88" s="96"/>
      <c r="W88" s="81" t="s">
        <v>74</v>
      </c>
      <c r="X88" s="96"/>
      <c r="Y88" s="24">
        <v>0</v>
      </c>
      <c r="Z88" s="17"/>
      <c r="AA88" s="24">
        <v>0</v>
      </c>
      <c r="AB88" s="17"/>
      <c r="AC88" s="24">
        <v>0</v>
      </c>
      <c r="AD88" s="17"/>
      <c r="AE88" s="35">
        <f t="shared" si="16"/>
        <v>0</v>
      </c>
      <c r="AF88" s="40"/>
      <c r="AG88" s="24">
        <v>0</v>
      </c>
      <c r="AH88" s="40"/>
      <c r="AI88" s="24">
        <v>0</v>
      </c>
      <c r="AJ88" s="17"/>
      <c r="AK88" s="24">
        <v>0</v>
      </c>
      <c r="AL88" s="17"/>
      <c r="AM88" s="24">
        <v>0</v>
      </c>
      <c r="AN88" s="17"/>
      <c r="AO88" s="35">
        <f t="shared" si="17"/>
        <v>0</v>
      </c>
      <c r="AP88" s="40"/>
      <c r="AQ88" s="17">
        <v>0</v>
      </c>
      <c r="AR88" s="17"/>
      <c r="AS88" s="17">
        <v>0</v>
      </c>
      <c r="AT88" s="17"/>
      <c r="AU88" s="35">
        <f t="shared" si="18"/>
        <v>0</v>
      </c>
      <c r="AV88" s="96"/>
      <c r="AW88" s="81" t="s">
        <v>74</v>
      </c>
      <c r="AX88" s="96"/>
      <c r="AY88" s="24">
        <v>0</v>
      </c>
      <c r="AZ88" s="17"/>
      <c r="BA88" s="24">
        <v>0</v>
      </c>
      <c r="BB88" s="17"/>
      <c r="BC88" s="24">
        <v>0</v>
      </c>
      <c r="BD88" s="17"/>
      <c r="BE88" s="24">
        <v>0</v>
      </c>
      <c r="BF88" s="17"/>
      <c r="BG88" s="35">
        <f t="shared" si="13"/>
        <v>0</v>
      </c>
      <c r="BH88" s="79"/>
    </row>
    <row r="89" spans="1:60" ht="12.75" hidden="1">
      <c r="A89" s="77" t="s">
        <v>75</v>
      </c>
      <c r="B89" s="96"/>
      <c r="C89" s="35">
        <f t="shared" si="12"/>
        <v>0</v>
      </c>
      <c r="D89" s="35"/>
      <c r="E89" s="24">
        <v>0</v>
      </c>
      <c r="F89" s="35"/>
      <c r="G89" s="24">
        <v>0</v>
      </c>
      <c r="H89" s="35"/>
      <c r="I89" s="35">
        <f t="shared" si="14"/>
        <v>0</v>
      </c>
      <c r="J89" s="35"/>
      <c r="K89" s="24">
        <v>0</v>
      </c>
      <c r="L89" s="35"/>
      <c r="M89" s="24">
        <v>0</v>
      </c>
      <c r="N89" s="35"/>
      <c r="O89" s="24">
        <v>0</v>
      </c>
      <c r="P89" s="35"/>
      <c r="Q89" s="24">
        <v>0</v>
      </c>
      <c r="R89" s="35"/>
      <c r="S89" s="24">
        <v>0</v>
      </c>
      <c r="T89" s="35"/>
      <c r="U89" s="35">
        <f t="shared" si="15"/>
        <v>0</v>
      </c>
      <c r="V89" s="96"/>
      <c r="W89" s="81" t="s">
        <v>75</v>
      </c>
      <c r="X89" s="96"/>
      <c r="Y89" s="24">
        <v>0</v>
      </c>
      <c r="Z89" s="17"/>
      <c r="AA89" s="24">
        <v>0</v>
      </c>
      <c r="AB89" s="17"/>
      <c r="AC89" s="24">
        <v>0</v>
      </c>
      <c r="AD89" s="17"/>
      <c r="AE89" s="35">
        <f t="shared" si="16"/>
        <v>0</v>
      </c>
      <c r="AF89" s="40"/>
      <c r="AG89" s="24">
        <v>0</v>
      </c>
      <c r="AH89" s="40"/>
      <c r="AI89" s="24">
        <v>0</v>
      </c>
      <c r="AJ89" s="17"/>
      <c r="AK89" s="24">
        <v>0</v>
      </c>
      <c r="AL89" s="17"/>
      <c r="AM89" s="24">
        <v>0</v>
      </c>
      <c r="AN89" s="17"/>
      <c r="AO89" s="35">
        <f t="shared" si="17"/>
        <v>0</v>
      </c>
      <c r="AP89" s="40"/>
      <c r="AQ89" s="17">
        <v>0</v>
      </c>
      <c r="AR89" s="17"/>
      <c r="AS89" s="17">
        <v>0</v>
      </c>
      <c r="AT89" s="17"/>
      <c r="AU89" s="35">
        <f t="shared" si="18"/>
        <v>0</v>
      </c>
      <c r="AV89" s="96"/>
      <c r="AW89" s="81" t="s">
        <v>75</v>
      </c>
      <c r="AX89" s="96"/>
      <c r="AY89" s="24">
        <v>0</v>
      </c>
      <c r="AZ89" s="17"/>
      <c r="BA89" s="24">
        <v>0</v>
      </c>
      <c r="BB89" s="17"/>
      <c r="BC89" s="24">
        <v>0</v>
      </c>
      <c r="BD89" s="17"/>
      <c r="BE89" s="24">
        <v>0</v>
      </c>
      <c r="BF89" s="17"/>
      <c r="BG89" s="35">
        <f t="shared" si="13"/>
        <v>0</v>
      </c>
      <c r="BH89" s="79"/>
    </row>
    <row r="90" spans="1:60" ht="12.75" hidden="1">
      <c r="A90" s="77" t="s">
        <v>76</v>
      </c>
      <c r="B90" s="96"/>
      <c r="C90" s="35">
        <f t="shared" si="12"/>
        <v>0</v>
      </c>
      <c r="D90" s="35"/>
      <c r="E90" s="24">
        <v>0</v>
      </c>
      <c r="F90" s="35"/>
      <c r="G90" s="24">
        <v>0</v>
      </c>
      <c r="H90" s="35"/>
      <c r="I90" s="35">
        <f t="shared" si="14"/>
        <v>0</v>
      </c>
      <c r="J90" s="35"/>
      <c r="K90" s="24">
        <v>0</v>
      </c>
      <c r="L90" s="35"/>
      <c r="M90" s="24">
        <v>0</v>
      </c>
      <c r="N90" s="35"/>
      <c r="O90" s="24">
        <v>0</v>
      </c>
      <c r="P90" s="35"/>
      <c r="Q90" s="24">
        <v>0</v>
      </c>
      <c r="R90" s="35"/>
      <c r="S90" s="24">
        <v>0</v>
      </c>
      <c r="T90" s="35"/>
      <c r="U90" s="35">
        <f t="shared" si="15"/>
        <v>0</v>
      </c>
      <c r="V90" s="96"/>
      <c r="W90" s="81" t="s">
        <v>76</v>
      </c>
      <c r="X90" s="96"/>
      <c r="Y90" s="24">
        <v>0</v>
      </c>
      <c r="Z90" s="17"/>
      <c r="AA90" s="24">
        <v>0</v>
      </c>
      <c r="AB90" s="17"/>
      <c r="AC90" s="24">
        <v>0</v>
      </c>
      <c r="AD90" s="17"/>
      <c r="AE90" s="35">
        <f t="shared" si="16"/>
        <v>0</v>
      </c>
      <c r="AF90" s="40"/>
      <c r="AG90" s="24">
        <v>0</v>
      </c>
      <c r="AH90" s="40"/>
      <c r="AI90" s="24">
        <v>0</v>
      </c>
      <c r="AJ90" s="17"/>
      <c r="AK90" s="24">
        <v>0</v>
      </c>
      <c r="AL90" s="17"/>
      <c r="AM90" s="24">
        <v>0</v>
      </c>
      <c r="AN90" s="17"/>
      <c r="AO90" s="35">
        <f t="shared" si="17"/>
        <v>0</v>
      </c>
      <c r="AP90" s="40"/>
      <c r="AQ90" s="17">
        <v>0</v>
      </c>
      <c r="AR90" s="17"/>
      <c r="AS90" s="17">
        <v>0</v>
      </c>
      <c r="AT90" s="17"/>
      <c r="AU90" s="35">
        <f t="shared" si="18"/>
        <v>0</v>
      </c>
      <c r="AV90" s="96"/>
      <c r="AW90" s="81" t="s">
        <v>76</v>
      </c>
      <c r="AX90" s="96"/>
      <c r="AY90" s="24">
        <v>0</v>
      </c>
      <c r="AZ90" s="17"/>
      <c r="BA90" s="24">
        <v>0</v>
      </c>
      <c r="BB90" s="17"/>
      <c r="BC90" s="24">
        <v>0</v>
      </c>
      <c r="BD90" s="17"/>
      <c r="BE90" s="24">
        <v>0</v>
      </c>
      <c r="BF90" s="17"/>
      <c r="BG90" s="35">
        <f t="shared" si="13"/>
        <v>0</v>
      </c>
      <c r="BH90" s="79"/>
    </row>
    <row r="91" spans="1:60" ht="12.75" hidden="1">
      <c r="A91" s="77" t="s">
        <v>77</v>
      </c>
      <c r="B91" s="96"/>
      <c r="C91" s="35">
        <f t="shared" si="12"/>
        <v>0</v>
      </c>
      <c r="D91" s="35"/>
      <c r="E91" s="24">
        <v>0</v>
      </c>
      <c r="F91" s="35"/>
      <c r="G91" s="24">
        <v>0</v>
      </c>
      <c r="H91" s="35"/>
      <c r="I91" s="35">
        <f t="shared" si="14"/>
        <v>0</v>
      </c>
      <c r="J91" s="35"/>
      <c r="K91" s="24">
        <v>0</v>
      </c>
      <c r="L91" s="35"/>
      <c r="M91" s="24">
        <v>0</v>
      </c>
      <c r="N91" s="35"/>
      <c r="O91" s="24">
        <v>0</v>
      </c>
      <c r="P91" s="35"/>
      <c r="Q91" s="24">
        <v>0</v>
      </c>
      <c r="R91" s="35"/>
      <c r="S91" s="24">
        <v>0</v>
      </c>
      <c r="T91" s="35"/>
      <c r="U91" s="35">
        <f t="shared" si="15"/>
        <v>0</v>
      </c>
      <c r="V91" s="96"/>
      <c r="W91" s="81" t="s">
        <v>77</v>
      </c>
      <c r="X91" s="96"/>
      <c r="Y91" s="24">
        <v>0</v>
      </c>
      <c r="Z91" s="17"/>
      <c r="AA91" s="24">
        <v>0</v>
      </c>
      <c r="AB91" s="17"/>
      <c r="AC91" s="24">
        <v>0</v>
      </c>
      <c r="AD91" s="17"/>
      <c r="AE91" s="35">
        <f t="shared" si="16"/>
        <v>0</v>
      </c>
      <c r="AF91" s="40"/>
      <c r="AG91" s="24">
        <v>0</v>
      </c>
      <c r="AH91" s="40"/>
      <c r="AI91" s="24">
        <v>0</v>
      </c>
      <c r="AJ91" s="17"/>
      <c r="AK91" s="24">
        <v>0</v>
      </c>
      <c r="AL91" s="17"/>
      <c r="AM91" s="24">
        <v>0</v>
      </c>
      <c r="AN91" s="17"/>
      <c r="AO91" s="35">
        <f t="shared" si="17"/>
        <v>0</v>
      </c>
      <c r="AP91" s="40"/>
      <c r="AQ91" s="17">
        <v>0</v>
      </c>
      <c r="AR91" s="17"/>
      <c r="AS91" s="17">
        <v>0</v>
      </c>
      <c r="AT91" s="17"/>
      <c r="AU91" s="35">
        <f t="shared" si="18"/>
        <v>0</v>
      </c>
      <c r="AV91" s="96"/>
      <c r="AW91" s="81" t="s">
        <v>77</v>
      </c>
      <c r="AX91" s="96"/>
      <c r="AY91" s="24">
        <v>0</v>
      </c>
      <c r="AZ91" s="17"/>
      <c r="BA91" s="24">
        <v>0</v>
      </c>
      <c r="BB91" s="17"/>
      <c r="BC91" s="24">
        <v>0</v>
      </c>
      <c r="BD91" s="17"/>
      <c r="BE91" s="24">
        <v>0</v>
      </c>
      <c r="BF91" s="17"/>
      <c r="BG91" s="35">
        <f t="shared" si="13"/>
        <v>0</v>
      </c>
      <c r="BH91" s="79"/>
    </row>
    <row r="92" spans="1:60" ht="12.75" hidden="1">
      <c r="A92" s="77" t="s">
        <v>78</v>
      </c>
      <c r="B92" s="96"/>
      <c r="C92" s="35">
        <f t="shared" si="12"/>
        <v>0</v>
      </c>
      <c r="D92" s="35"/>
      <c r="E92" s="24">
        <v>0</v>
      </c>
      <c r="F92" s="35"/>
      <c r="G92" s="24">
        <v>0</v>
      </c>
      <c r="H92" s="35"/>
      <c r="I92" s="35">
        <f t="shared" si="14"/>
        <v>0</v>
      </c>
      <c r="J92" s="35"/>
      <c r="K92" s="24">
        <v>0</v>
      </c>
      <c r="L92" s="35"/>
      <c r="M92" s="24">
        <v>0</v>
      </c>
      <c r="N92" s="35"/>
      <c r="O92" s="24">
        <v>0</v>
      </c>
      <c r="P92" s="35"/>
      <c r="Q92" s="24">
        <v>0</v>
      </c>
      <c r="R92" s="35"/>
      <c r="S92" s="24">
        <v>0</v>
      </c>
      <c r="T92" s="35"/>
      <c r="U92" s="35">
        <f t="shared" si="15"/>
        <v>0</v>
      </c>
      <c r="V92" s="96"/>
      <c r="W92" s="81" t="s">
        <v>78</v>
      </c>
      <c r="X92" s="96"/>
      <c r="Y92" s="24">
        <v>0</v>
      </c>
      <c r="Z92" s="17"/>
      <c r="AA92" s="24">
        <v>0</v>
      </c>
      <c r="AB92" s="17"/>
      <c r="AC92" s="24">
        <v>0</v>
      </c>
      <c r="AD92" s="17"/>
      <c r="AE92" s="35">
        <f t="shared" si="16"/>
        <v>0</v>
      </c>
      <c r="AF92" s="40"/>
      <c r="AG92" s="24">
        <v>0</v>
      </c>
      <c r="AH92" s="40"/>
      <c r="AI92" s="24">
        <v>0</v>
      </c>
      <c r="AJ92" s="17"/>
      <c r="AK92" s="24">
        <v>0</v>
      </c>
      <c r="AL92" s="17"/>
      <c r="AM92" s="24">
        <v>0</v>
      </c>
      <c r="AN92" s="17"/>
      <c r="AO92" s="35">
        <f t="shared" si="17"/>
        <v>0</v>
      </c>
      <c r="AP92" s="40"/>
      <c r="AQ92" s="17">
        <v>0</v>
      </c>
      <c r="AR92" s="17"/>
      <c r="AS92" s="17">
        <v>0</v>
      </c>
      <c r="AT92" s="17"/>
      <c r="AU92" s="35">
        <f t="shared" si="18"/>
        <v>0</v>
      </c>
      <c r="AV92" s="96"/>
      <c r="AW92" s="81" t="s">
        <v>78</v>
      </c>
      <c r="AX92" s="96"/>
      <c r="AY92" s="24">
        <v>0</v>
      </c>
      <c r="AZ92" s="17"/>
      <c r="BA92" s="24">
        <v>0</v>
      </c>
      <c r="BB92" s="17"/>
      <c r="BC92" s="24">
        <v>0</v>
      </c>
      <c r="BD92" s="17"/>
      <c r="BE92" s="24">
        <v>0</v>
      </c>
      <c r="BF92" s="17"/>
      <c r="BG92" s="35">
        <f t="shared" si="13"/>
        <v>0</v>
      </c>
      <c r="BH92" s="79"/>
    </row>
    <row r="93" spans="1:60" ht="12.75" hidden="1">
      <c r="A93" s="77" t="s">
        <v>79</v>
      </c>
      <c r="B93" s="96"/>
      <c r="C93" s="35">
        <f aca="true" t="shared" si="19" ref="C93:C99">G93-E93</f>
        <v>0</v>
      </c>
      <c r="D93" s="35"/>
      <c r="E93" s="24">
        <v>0</v>
      </c>
      <c r="F93" s="35"/>
      <c r="G93" s="24">
        <v>0</v>
      </c>
      <c r="H93" s="35"/>
      <c r="I93" s="35">
        <f t="shared" si="14"/>
        <v>0</v>
      </c>
      <c r="J93" s="35"/>
      <c r="K93" s="24">
        <v>0</v>
      </c>
      <c r="L93" s="35"/>
      <c r="M93" s="24">
        <v>0</v>
      </c>
      <c r="N93" s="35"/>
      <c r="O93" s="24">
        <v>0</v>
      </c>
      <c r="P93" s="35"/>
      <c r="Q93" s="24">
        <v>0</v>
      </c>
      <c r="R93" s="35"/>
      <c r="S93" s="24">
        <v>0</v>
      </c>
      <c r="T93" s="35"/>
      <c r="U93" s="35">
        <f t="shared" si="15"/>
        <v>0</v>
      </c>
      <c r="V93" s="96"/>
      <c r="W93" s="81" t="s">
        <v>79</v>
      </c>
      <c r="X93" s="96"/>
      <c r="Y93" s="24">
        <v>0</v>
      </c>
      <c r="Z93" s="17"/>
      <c r="AA93" s="24">
        <v>0</v>
      </c>
      <c r="AB93" s="17"/>
      <c r="AC93" s="24">
        <v>0</v>
      </c>
      <c r="AD93" s="17"/>
      <c r="AE93" s="35">
        <f t="shared" si="16"/>
        <v>0</v>
      </c>
      <c r="AF93" s="40"/>
      <c r="AG93" s="24">
        <v>0</v>
      </c>
      <c r="AH93" s="40"/>
      <c r="AI93" s="24">
        <v>0</v>
      </c>
      <c r="AJ93" s="17"/>
      <c r="AK93" s="24">
        <v>0</v>
      </c>
      <c r="AL93" s="17"/>
      <c r="AM93" s="24">
        <v>0</v>
      </c>
      <c r="AN93" s="17"/>
      <c r="AO93" s="35">
        <f t="shared" si="17"/>
        <v>0</v>
      </c>
      <c r="AP93" s="40"/>
      <c r="AQ93" s="17">
        <v>0</v>
      </c>
      <c r="AR93" s="17"/>
      <c r="AS93" s="17">
        <v>0</v>
      </c>
      <c r="AT93" s="17"/>
      <c r="AU93" s="35">
        <f t="shared" si="18"/>
        <v>0</v>
      </c>
      <c r="AV93" s="96"/>
      <c r="AW93" s="81" t="s">
        <v>79</v>
      </c>
      <c r="AX93" s="96"/>
      <c r="AY93" s="24">
        <v>0</v>
      </c>
      <c r="AZ93" s="17"/>
      <c r="BA93" s="24">
        <v>0</v>
      </c>
      <c r="BB93" s="17"/>
      <c r="BC93" s="24">
        <v>0</v>
      </c>
      <c r="BD93" s="17"/>
      <c r="BE93" s="24">
        <v>0</v>
      </c>
      <c r="BF93" s="17"/>
      <c r="BG93" s="35">
        <f aca="true" t="shared" si="20" ref="BG93:BG98">SUM(AY93:BE93)</f>
        <v>0</v>
      </c>
      <c r="BH93" s="79"/>
    </row>
    <row r="94" spans="1:60" ht="12.75" hidden="1">
      <c r="A94" s="77" t="s">
        <v>80</v>
      </c>
      <c r="B94" s="96"/>
      <c r="C94" s="35">
        <f t="shared" si="19"/>
        <v>0</v>
      </c>
      <c r="D94" s="35"/>
      <c r="E94" s="24">
        <v>0</v>
      </c>
      <c r="F94" s="35"/>
      <c r="G94" s="24">
        <v>0</v>
      </c>
      <c r="H94" s="35"/>
      <c r="I94" s="35">
        <f t="shared" si="14"/>
        <v>0</v>
      </c>
      <c r="J94" s="35"/>
      <c r="K94" s="24">
        <v>0</v>
      </c>
      <c r="L94" s="35"/>
      <c r="M94" s="24">
        <v>0</v>
      </c>
      <c r="N94" s="35"/>
      <c r="O94" s="24">
        <v>0</v>
      </c>
      <c r="P94" s="35"/>
      <c r="Q94" s="24">
        <v>0</v>
      </c>
      <c r="R94" s="35"/>
      <c r="S94" s="24">
        <v>0</v>
      </c>
      <c r="T94" s="35"/>
      <c r="U94" s="35">
        <f t="shared" si="15"/>
        <v>0</v>
      </c>
      <c r="V94" s="96"/>
      <c r="W94" s="81" t="s">
        <v>80</v>
      </c>
      <c r="X94" s="96"/>
      <c r="Y94" s="24">
        <v>0</v>
      </c>
      <c r="Z94" s="17"/>
      <c r="AA94" s="24">
        <v>0</v>
      </c>
      <c r="AB94" s="17"/>
      <c r="AC94" s="24">
        <v>0</v>
      </c>
      <c r="AD94" s="17"/>
      <c r="AE94" s="35">
        <f t="shared" si="16"/>
        <v>0</v>
      </c>
      <c r="AF94" s="40"/>
      <c r="AG94" s="24">
        <v>0</v>
      </c>
      <c r="AH94" s="40"/>
      <c r="AI94" s="24">
        <v>0</v>
      </c>
      <c r="AJ94" s="17"/>
      <c r="AK94" s="24">
        <v>0</v>
      </c>
      <c r="AL94" s="17"/>
      <c r="AM94" s="24">
        <v>0</v>
      </c>
      <c r="AN94" s="17"/>
      <c r="AO94" s="35">
        <f t="shared" si="17"/>
        <v>0</v>
      </c>
      <c r="AP94" s="40"/>
      <c r="AQ94" s="17">
        <v>0</v>
      </c>
      <c r="AR94" s="17"/>
      <c r="AS94" s="17">
        <v>0</v>
      </c>
      <c r="AT94" s="17"/>
      <c r="AU94" s="35">
        <f t="shared" si="18"/>
        <v>0</v>
      </c>
      <c r="AV94" s="96"/>
      <c r="AW94" s="81" t="s">
        <v>80</v>
      </c>
      <c r="AX94" s="96"/>
      <c r="AY94" s="24">
        <v>0</v>
      </c>
      <c r="AZ94" s="17"/>
      <c r="BA94" s="24">
        <v>0</v>
      </c>
      <c r="BB94" s="17"/>
      <c r="BC94" s="24">
        <v>0</v>
      </c>
      <c r="BD94" s="17"/>
      <c r="BE94" s="24">
        <v>0</v>
      </c>
      <c r="BF94" s="17"/>
      <c r="BG94" s="35">
        <f t="shared" si="20"/>
        <v>0</v>
      </c>
      <c r="BH94" s="79"/>
    </row>
    <row r="95" spans="1:60" ht="12.75" hidden="1">
      <c r="A95" s="77" t="s">
        <v>81</v>
      </c>
      <c r="B95" s="96"/>
      <c r="C95" s="35">
        <f t="shared" si="19"/>
        <v>0</v>
      </c>
      <c r="D95" s="35"/>
      <c r="E95" s="24">
        <v>0</v>
      </c>
      <c r="F95" s="35"/>
      <c r="G95" s="24">
        <v>0</v>
      </c>
      <c r="H95" s="35"/>
      <c r="I95" s="35">
        <f t="shared" si="14"/>
        <v>0</v>
      </c>
      <c r="J95" s="35"/>
      <c r="K95" s="24">
        <v>0</v>
      </c>
      <c r="L95" s="35"/>
      <c r="M95" s="24">
        <v>0</v>
      </c>
      <c r="N95" s="35"/>
      <c r="O95" s="24">
        <v>0</v>
      </c>
      <c r="P95" s="35"/>
      <c r="Q95" s="24">
        <v>0</v>
      </c>
      <c r="R95" s="35"/>
      <c r="S95" s="24">
        <v>0</v>
      </c>
      <c r="T95" s="35"/>
      <c r="U95" s="35">
        <f t="shared" si="15"/>
        <v>0</v>
      </c>
      <c r="V95" s="96"/>
      <c r="W95" s="81" t="s">
        <v>81</v>
      </c>
      <c r="X95" s="96"/>
      <c r="Y95" s="24">
        <v>0</v>
      </c>
      <c r="Z95" s="17"/>
      <c r="AA95" s="24">
        <v>0</v>
      </c>
      <c r="AB95" s="17"/>
      <c r="AC95" s="24">
        <v>0</v>
      </c>
      <c r="AD95" s="17"/>
      <c r="AE95" s="35">
        <f t="shared" si="16"/>
        <v>0</v>
      </c>
      <c r="AF95" s="40"/>
      <c r="AG95" s="24">
        <v>0</v>
      </c>
      <c r="AH95" s="40"/>
      <c r="AI95" s="24">
        <v>0</v>
      </c>
      <c r="AJ95" s="17"/>
      <c r="AK95" s="24">
        <v>0</v>
      </c>
      <c r="AL95" s="17"/>
      <c r="AM95" s="24">
        <v>0</v>
      </c>
      <c r="AN95" s="17"/>
      <c r="AO95" s="35">
        <f t="shared" si="17"/>
        <v>0</v>
      </c>
      <c r="AP95" s="40"/>
      <c r="AQ95" s="17">
        <v>0</v>
      </c>
      <c r="AR95" s="17"/>
      <c r="AS95" s="17">
        <v>0</v>
      </c>
      <c r="AT95" s="17"/>
      <c r="AU95" s="35">
        <f t="shared" si="18"/>
        <v>0</v>
      </c>
      <c r="AV95" s="96"/>
      <c r="AW95" s="81" t="s">
        <v>81</v>
      </c>
      <c r="AX95" s="96"/>
      <c r="AY95" s="24">
        <v>0</v>
      </c>
      <c r="AZ95" s="17"/>
      <c r="BA95" s="24">
        <v>0</v>
      </c>
      <c r="BB95" s="17"/>
      <c r="BC95" s="24">
        <v>0</v>
      </c>
      <c r="BD95" s="17"/>
      <c r="BE95" s="24">
        <v>0</v>
      </c>
      <c r="BF95" s="17"/>
      <c r="BG95" s="35">
        <f t="shared" si="20"/>
        <v>0</v>
      </c>
      <c r="BH95" s="79"/>
    </row>
    <row r="96" spans="1:60" ht="12.75" hidden="1">
      <c r="A96" s="77" t="s">
        <v>136</v>
      </c>
      <c r="B96" s="96"/>
      <c r="C96" s="35">
        <f t="shared" si="19"/>
        <v>0</v>
      </c>
      <c r="D96" s="35"/>
      <c r="E96" s="24">
        <v>0</v>
      </c>
      <c r="F96" s="35"/>
      <c r="G96" s="24">
        <v>0</v>
      </c>
      <c r="H96" s="35"/>
      <c r="I96" s="35">
        <f t="shared" si="14"/>
        <v>0</v>
      </c>
      <c r="J96" s="35"/>
      <c r="K96" s="24">
        <v>0</v>
      </c>
      <c r="L96" s="35"/>
      <c r="M96" s="24">
        <v>0</v>
      </c>
      <c r="N96" s="35"/>
      <c r="O96" s="24">
        <v>0</v>
      </c>
      <c r="P96" s="35"/>
      <c r="Q96" s="24">
        <v>0</v>
      </c>
      <c r="R96" s="35"/>
      <c r="S96" s="24">
        <v>0</v>
      </c>
      <c r="T96" s="35"/>
      <c r="U96" s="35">
        <f t="shared" si="15"/>
        <v>0</v>
      </c>
      <c r="V96" s="96"/>
      <c r="W96" s="81" t="s">
        <v>136</v>
      </c>
      <c r="X96" s="96"/>
      <c r="Y96" s="24">
        <v>0</v>
      </c>
      <c r="Z96" s="17"/>
      <c r="AA96" s="24">
        <v>0</v>
      </c>
      <c r="AB96" s="17"/>
      <c r="AC96" s="24">
        <v>0</v>
      </c>
      <c r="AD96" s="17"/>
      <c r="AE96" s="35">
        <f t="shared" si="16"/>
        <v>0</v>
      </c>
      <c r="AF96" s="40"/>
      <c r="AG96" s="24">
        <v>0</v>
      </c>
      <c r="AH96" s="40"/>
      <c r="AI96" s="24">
        <v>0</v>
      </c>
      <c r="AJ96" s="17"/>
      <c r="AK96" s="24">
        <v>0</v>
      </c>
      <c r="AL96" s="17"/>
      <c r="AM96" s="24">
        <v>0</v>
      </c>
      <c r="AN96" s="17"/>
      <c r="AO96" s="35">
        <f t="shared" si="17"/>
        <v>0</v>
      </c>
      <c r="AP96" s="40"/>
      <c r="AQ96" s="17">
        <v>0</v>
      </c>
      <c r="AR96" s="17"/>
      <c r="AS96" s="17">
        <v>0</v>
      </c>
      <c r="AT96" s="17"/>
      <c r="AU96" s="35">
        <f t="shared" si="18"/>
        <v>0</v>
      </c>
      <c r="AV96" s="96"/>
      <c r="AW96" s="81" t="s">
        <v>136</v>
      </c>
      <c r="AX96" s="96"/>
      <c r="AY96" s="24">
        <v>0</v>
      </c>
      <c r="AZ96" s="17"/>
      <c r="BA96" s="24">
        <v>0</v>
      </c>
      <c r="BB96" s="17"/>
      <c r="BC96" s="24">
        <v>0</v>
      </c>
      <c r="BD96" s="17"/>
      <c r="BE96" s="24">
        <v>0</v>
      </c>
      <c r="BF96" s="17"/>
      <c r="BG96" s="35">
        <f t="shared" si="20"/>
        <v>0</v>
      </c>
      <c r="BH96" s="79"/>
    </row>
    <row r="97" spans="1:60" ht="12.75" hidden="1">
      <c r="A97" s="77" t="s">
        <v>174</v>
      </c>
      <c r="B97" s="96"/>
      <c r="C97" s="35">
        <f t="shared" si="19"/>
        <v>0</v>
      </c>
      <c r="D97" s="35"/>
      <c r="E97" s="24">
        <v>0</v>
      </c>
      <c r="F97" s="35"/>
      <c r="G97" s="24">
        <v>0</v>
      </c>
      <c r="H97" s="35"/>
      <c r="I97" s="35">
        <f t="shared" si="14"/>
        <v>0</v>
      </c>
      <c r="J97" s="35"/>
      <c r="K97" s="24">
        <v>0</v>
      </c>
      <c r="L97" s="35"/>
      <c r="M97" s="24">
        <v>0</v>
      </c>
      <c r="N97" s="35"/>
      <c r="O97" s="24">
        <v>0</v>
      </c>
      <c r="P97" s="35"/>
      <c r="Q97" s="24">
        <v>0</v>
      </c>
      <c r="R97" s="35"/>
      <c r="S97" s="24">
        <v>0</v>
      </c>
      <c r="T97" s="35"/>
      <c r="U97" s="35">
        <f t="shared" si="15"/>
        <v>0</v>
      </c>
      <c r="V97" s="96"/>
      <c r="W97" s="81" t="s">
        <v>174</v>
      </c>
      <c r="X97" s="96"/>
      <c r="Y97" s="24">
        <v>0</v>
      </c>
      <c r="Z97" s="17"/>
      <c r="AA97" s="24">
        <v>0</v>
      </c>
      <c r="AB97" s="17"/>
      <c r="AC97" s="24">
        <v>0</v>
      </c>
      <c r="AD97" s="17"/>
      <c r="AE97" s="35">
        <f t="shared" si="16"/>
        <v>0</v>
      </c>
      <c r="AF97" s="40"/>
      <c r="AG97" s="24">
        <v>0</v>
      </c>
      <c r="AH97" s="40"/>
      <c r="AI97" s="24">
        <v>0</v>
      </c>
      <c r="AJ97" s="17"/>
      <c r="AK97" s="24">
        <v>0</v>
      </c>
      <c r="AL97" s="17"/>
      <c r="AM97" s="24">
        <v>0</v>
      </c>
      <c r="AN97" s="17"/>
      <c r="AO97" s="35">
        <f t="shared" si="17"/>
        <v>0</v>
      </c>
      <c r="AP97" s="40"/>
      <c r="AQ97" s="17">
        <v>0</v>
      </c>
      <c r="AR97" s="17"/>
      <c r="AS97" s="17">
        <v>0</v>
      </c>
      <c r="AT97" s="17"/>
      <c r="AU97" s="35">
        <f t="shared" si="18"/>
        <v>0</v>
      </c>
      <c r="AV97" s="96"/>
      <c r="AW97" s="81" t="s">
        <v>174</v>
      </c>
      <c r="AX97" s="96"/>
      <c r="AY97" s="24">
        <v>0</v>
      </c>
      <c r="AZ97" s="17"/>
      <c r="BA97" s="24">
        <v>0</v>
      </c>
      <c r="BB97" s="17"/>
      <c r="BC97" s="24">
        <v>0</v>
      </c>
      <c r="BD97" s="17"/>
      <c r="BE97" s="24">
        <v>0</v>
      </c>
      <c r="BF97" s="17"/>
      <c r="BG97" s="35">
        <f t="shared" si="20"/>
        <v>0</v>
      </c>
      <c r="BH97" s="79"/>
    </row>
    <row r="98" spans="1:60" ht="12.75">
      <c r="A98" s="77" t="s">
        <v>83</v>
      </c>
      <c r="B98" s="96"/>
      <c r="C98" s="35">
        <f t="shared" si="19"/>
        <v>1125169</v>
      </c>
      <c r="D98" s="35"/>
      <c r="E98" s="24">
        <v>1952641</v>
      </c>
      <c r="F98" s="35"/>
      <c r="G98" s="24">
        <v>3077810</v>
      </c>
      <c r="H98" s="35"/>
      <c r="I98" s="35">
        <f t="shared" si="14"/>
        <v>1257109</v>
      </c>
      <c r="J98" s="35"/>
      <c r="K98" s="24">
        <v>6994019</v>
      </c>
      <c r="L98" s="35"/>
      <c r="M98" s="24">
        <v>8251128</v>
      </c>
      <c r="N98" s="35"/>
      <c r="O98" s="24">
        <v>577599</v>
      </c>
      <c r="P98" s="35"/>
      <c r="Q98" s="24">
        <v>0</v>
      </c>
      <c r="R98" s="35"/>
      <c r="S98" s="24">
        <v>-5750917</v>
      </c>
      <c r="T98" s="35"/>
      <c r="U98" s="35">
        <f t="shared" si="15"/>
        <v>-5173318</v>
      </c>
      <c r="V98" s="35"/>
      <c r="W98" s="81" t="s">
        <v>83</v>
      </c>
      <c r="X98" s="35"/>
      <c r="Y98" s="24">
        <v>1716662</v>
      </c>
      <c r="Z98" s="17"/>
      <c r="AA98" s="24">
        <f>2908343-493590</f>
        <v>2414753</v>
      </c>
      <c r="AB98" s="17"/>
      <c r="AC98" s="24">
        <v>493590</v>
      </c>
      <c r="AD98" s="17"/>
      <c r="AE98" s="35">
        <f t="shared" si="16"/>
        <v>-1191681</v>
      </c>
      <c r="AF98" s="40"/>
      <c r="AG98" s="24">
        <v>-64671</v>
      </c>
      <c r="AH98" s="40"/>
      <c r="AI98" s="24">
        <v>137614</v>
      </c>
      <c r="AJ98" s="17"/>
      <c r="AK98" s="24">
        <v>0</v>
      </c>
      <c r="AL98" s="17"/>
      <c r="AM98" s="24">
        <v>30052</v>
      </c>
      <c r="AN98" s="17"/>
      <c r="AO98" s="35">
        <f t="shared" si="17"/>
        <v>-1088686</v>
      </c>
      <c r="AP98" s="40"/>
      <c r="AQ98" s="17">
        <v>0</v>
      </c>
      <c r="AR98" s="17"/>
      <c r="AS98" s="17">
        <v>0</v>
      </c>
      <c r="AT98" s="17"/>
      <c r="AU98" s="35">
        <f t="shared" si="18"/>
        <v>-131940</v>
      </c>
      <c r="AV98" s="17"/>
      <c r="AW98" s="81" t="s">
        <v>83</v>
      </c>
      <c r="AX98" s="17"/>
      <c r="AY98" s="24">
        <v>92316</v>
      </c>
      <c r="AZ98" s="17"/>
      <c r="BA98" s="24">
        <v>0</v>
      </c>
      <c r="BB98" s="17"/>
      <c r="BC98" s="24">
        <v>0</v>
      </c>
      <c r="BD98" s="17"/>
      <c r="BE98" s="24">
        <f>30118+931306+5940279</f>
        <v>6901703</v>
      </c>
      <c r="BF98" s="17"/>
      <c r="BG98" s="35">
        <f t="shared" si="20"/>
        <v>6994019</v>
      </c>
      <c r="BH98" s="79"/>
    </row>
    <row r="99" spans="1:60" ht="12.75" hidden="1">
      <c r="A99" s="77" t="s">
        <v>175</v>
      </c>
      <c r="B99" s="96"/>
      <c r="C99" s="35">
        <f t="shared" si="19"/>
        <v>0</v>
      </c>
      <c r="D99" s="35"/>
      <c r="E99" s="24">
        <v>0</v>
      </c>
      <c r="F99" s="35"/>
      <c r="G99" s="24">
        <v>0</v>
      </c>
      <c r="H99" s="35"/>
      <c r="I99" s="35">
        <f>M99-K99</f>
        <v>0</v>
      </c>
      <c r="J99" s="35"/>
      <c r="K99" s="24">
        <v>0</v>
      </c>
      <c r="L99" s="35"/>
      <c r="M99" s="24">
        <v>0</v>
      </c>
      <c r="N99" s="35"/>
      <c r="O99" s="24">
        <v>0</v>
      </c>
      <c r="P99" s="35"/>
      <c r="Q99" s="24">
        <v>0</v>
      </c>
      <c r="R99" s="35"/>
      <c r="S99" s="24">
        <v>0</v>
      </c>
      <c r="T99" s="35"/>
      <c r="U99" s="35">
        <f>SUM(O99:S99)</f>
        <v>0</v>
      </c>
      <c r="V99" s="96"/>
      <c r="W99" s="81" t="s">
        <v>175</v>
      </c>
      <c r="X99" s="96"/>
      <c r="Y99" s="24">
        <v>0</v>
      </c>
      <c r="Z99" s="17"/>
      <c r="AA99" s="24">
        <v>0</v>
      </c>
      <c r="AB99" s="17"/>
      <c r="AC99" s="24">
        <v>0</v>
      </c>
      <c r="AD99" s="17"/>
      <c r="AE99" s="35">
        <f>+Y99-AA99-AC99</f>
        <v>0</v>
      </c>
      <c r="AF99" s="40"/>
      <c r="AG99" s="24">
        <v>0</v>
      </c>
      <c r="AH99" s="40"/>
      <c r="AI99" s="24">
        <v>0</v>
      </c>
      <c r="AJ99" s="17"/>
      <c r="AK99" s="24">
        <v>0</v>
      </c>
      <c r="AL99" s="17"/>
      <c r="AM99" s="24">
        <v>0</v>
      </c>
      <c r="AN99" s="17"/>
      <c r="AO99" s="35">
        <f>+AE99+AG99+AI99-AK99+AM99</f>
        <v>0</v>
      </c>
      <c r="AP99" s="40"/>
      <c r="AQ99" s="17">
        <v>0</v>
      </c>
      <c r="AR99" s="17"/>
      <c r="AS99" s="17">
        <v>0</v>
      </c>
      <c r="AT99" s="17"/>
      <c r="AU99" s="35">
        <f>+C99-I99</f>
        <v>0</v>
      </c>
      <c r="AV99" s="96"/>
      <c r="AW99" s="81" t="s">
        <v>175</v>
      </c>
      <c r="AX99" s="96"/>
      <c r="AY99" s="24">
        <v>0</v>
      </c>
      <c r="AZ99" s="17"/>
      <c r="BA99" s="24">
        <v>0</v>
      </c>
      <c r="BB99" s="17"/>
      <c r="BC99" s="24">
        <v>0</v>
      </c>
      <c r="BD99" s="17"/>
      <c r="BE99" s="24">
        <v>0</v>
      </c>
      <c r="BF99" s="17"/>
      <c r="BG99" s="35">
        <f>SUM(AY99:BE99)</f>
        <v>0</v>
      </c>
      <c r="BH99" s="79"/>
    </row>
    <row r="100" spans="1:60" ht="12.75">
      <c r="A100" s="77"/>
      <c r="B100" s="69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1"/>
      <c r="X100" s="86"/>
      <c r="Y100" s="86"/>
      <c r="Z100" s="86"/>
      <c r="AA100" s="86"/>
      <c r="AB100" s="87"/>
      <c r="AC100" s="86"/>
      <c r="AD100" s="87"/>
      <c r="AE100" s="86"/>
      <c r="AF100" s="88"/>
      <c r="AG100" s="86"/>
      <c r="AH100" s="88"/>
      <c r="AI100" s="86"/>
      <c r="AJ100" s="88"/>
      <c r="AK100" s="86"/>
      <c r="AL100" s="88"/>
      <c r="AM100" s="86"/>
      <c r="AN100" s="83"/>
      <c r="AO100" s="86"/>
      <c r="AP100" s="83"/>
      <c r="AQ100" s="83"/>
      <c r="AR100" s="83"/>
      <c r="AS100" s="83"/>
      <c r="AT100" s="83"/>
      <c r="AU100" s="86"/>
      <c r="AV100" s="83"/>
      <c r="AW100" s="81"/>
      <c r="AX100" s="83"/>
      <c r="AY100" s="86"/>
      <c r="AZ100" s="83"/>
      <c r="BA100" s="86"/>
      <c r="BB100" s="83"/>
      <c r="BC100" s="86"/>
      <c r="BD100" s="83"/>
      <c r="BE100" s="86"/>
      <c r="BF100" s="83"/>
      <c r="BG100" s="86"/>
      <c r="BH100" s="79"/>
    </row>
    <row r="101" spans="1:60" ht="12.75">
      <c r="A101" s="77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7"/>
      <c r="X101" s="69"/>
      <c r="Y101" s="69"/>
      <c r="Z101" s="69"/>
      <c r="AA101" s="84"/>
      <c r="AB101" s="84"/>
      <c r="AC101" s="84"/>
      <c r="AD101" s="84"/>
      <c r="AE101" s="69"/>
      <c r="AF101" s="85"/>
      <c r="AG101" s="85"/>
      <c r="AH101" s="85"/>
      <c r="AI101" s="85"/>
      <c r="AJ101" s="85"/>
      <c r="AK101" s="85"/>
      <c r="AL101" s="85"/>
      <c r="AM101" s="79"/>
      <c r="AN101" s="79"/>
      <c r="AO101" s="69"/>
      <c r="AP101" s="79"/>
      <c r="AQ101" s="79"/>
      <c r="AR101" s="79"/>
      <c r="AS101" s="79"/>
      <c r="AT101" s="79"/>
      <c r="AU101" s="69"/>
      <c r="AV101" s="79"/>
      <c r="AW101" s="77"/>
      <c r="AX101" s="79"/>
      <c r="AY101" s="79"/>
      <c r="AZ101" s="79"/>
      <c r="BA101" s="79"/>
      <c r="BB101" s="79"/>
      <c r="BC101" s="79"/>
      <c r="BD101" s="79"/>
      <c r="BE101" s="79"/>
      <c r="BF101" s="79"/>
      <c r="BG101" s="69"/>
      <c r="BH101" s="79"/>
    </row>
    <row r="102" spans="1:60" ht="12.75">
      <c r="A102" s="77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7"/>
      <c r="X102" s="69"/>
      <c r="Y102" s="69"/>
      <c r="Z102" s="69"/>
      <c r="AA102" s="84"/>
      <c r="AB102" s="84"/>
      <c r="AC102" s="84"/>
      <c r="AD102" s="84"/>
      <c r="AE102" s="69"/>
      <c r="AF102" s="85"/>
      <c r="AG102" s="85"/>
      <c r="AH102" s="85"/>
      <c r="AI102" s="85"/>
      <c r="AJ102" s="85"/>
      <c r="AK102" s="85"/>
      <c r="AL102" s="85"/>
      <c r="AM102" s="79"/>
      <c r="AN102" s="79"/>
      <c r="AO102" s="69"/>
      <c r="AP102" s="79"/>
      <c r="AQ102" s="79"/>
      <c r="AR102" s="79"/>
      <c r="AS102" s="79"/>
      <c r="AT102" s="79"/>
      <c r="AU102" s="69"/>
      <c r="AV102" s="79"/>
      <c r="AW102" s="77"/>
      <c r="AX102" s="79"/>
      <c r="AY102" s="79"/>
      <c r="AZ102" s="79"/>
      <c r="BA102" s="79"/>
      <c r="BB102" s="79"/>
      <c r="BC102" s="79"/>
      <c r="BD102" s="79"/>
      <c r="BE102" s="79"/>
      <c r="BF102" s="79"/>
      <c r="BG102" s="69"/>
      <c r="BH102" s="79"/>
    </row>
    <row r="103" spans="1:60" ht="12.75">
      <c r="A103" s="77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7"/>
      <c r="X103" s="69"/>
      <c r="Y103" s="69"/>
      <c r="Z103" s="69"/>
      <c r="AA103" s="84"/>
      <c r="AB103" s="84"/>
      <c r="AC103" s="84"/>
      <c r="AD103" s="84"/>
      <c r="AE103" s="69"/>
      <c r="AF103" s="85"/>
      <c r="AG103" s="85"/>
      <c r="AH103" s="85"/>
      <c r="AI103" s="85"/>
      <c r="AJ103" s="85"/>
      <c r="AK103" s="85"/>
      <c r="AL103" s="85"/>
      <c r="AM103" s="79"/>
      <c r="AN103" s="79"/>
      <c r="AO103" s="69"/>
      <c r="AP103" s="79"/>
      <c r="AQ103" s="79"/>
      <c r="AR103" s="79"/>
      <c r="AS103" s="79"/>
      <c r="AT103" s="79"/>
      <c r="AU103" s="69"/>
      <c r="AV103" s="79"/>
      <c r="AW103" s="77"/>
      <c r="AX103" s="79"/>
      <c r="AY103" s="79"/>
      <c r="AZ103" s="79"/>
      <c r="BA103" s="79"/>
      <c r="BB103" s="79"/>
      <c r="BC103" s="79"/>
      <c r="BD103" s="79"/>
      <c r="BE103" s="79"/>
      <c r="BF103" s="79"/>
      <c r="BG103" s="69"/>
      <c r="BH103" s="79"/>
    </row>
    <row r="104" spans="1:60" ht="12.75">
      <c r="A104" s="77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84"/>
      <c r="AB104" s="84"/>
      <c r="AC104" s="84"/>
      <c r="AD104" s="84"/>
      <c r="AE104" s="69"/>
      <c r="AF104" s="85"/>
      <c r="AG104" s="85"/>
      <c r="AH104" s="85"/>
      <c r="AI104" s="85"/>
      <c r="AJ104" s="85"/>
      <c r="AK104" s="85"/>
      <c r="AL104" s="85"/>
      <c r="AM104" s="79"/>
      <c r="AN104" s="79"/>
      <c r="AO104" s="69"/>
      <c r="AP104" s="79"/>
      <c r="AQ104" s="79"/>
      <c r="AR104" s="79"/>
      <c r="AS104" s="79"/>
      <c r="AT104" s="79"/>
      <c r="AU104" s="69"/>
      <c r="AV104" s="79"/>
      <c r="AW104" s="69"/>
      <c r="AX104" s="79"/>
      <c r="AY104" s="79"/>
      <c r="AZ104" s="79"/>
      <c r="BA104" s="79"/>
      <c r="BB104" s="79"/>
      <c r="BC104" s="79"/>
      <c r="BD104" s="79"/>
      <c r="BE104" s="79"/>
      <c r="BF104" s="79"/>
      <c r="BG104" s="69"/>
      <c r="BH104" s="79"/>
    </row>
    <row r="105" spans="1:60" ht="12.75">
      <c r="A105" s="77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84"/>
      <c r="AB105" s="84"/>
      <c r="AC105" s="84"/>
      <c r="AD105" s="84"/>
      <c r="AE105" s="69"/>
      <c r="AF105" s="85"/>
      <c r="AG105" s="85"/>
      <c r="AH105" s="85"/>
      <c r="AI105" s="85"/>
      <c r="AJ105" s="85"/>
      <c r="AK105" s="85"/>
      <c r="AL105" s="85"/>
      <c r="AM105" s="79"/>
      <c r="AN105" s="79"/>
      <c r="AO105" s="69"/>
      <c r="AP105" s="79"/>
      <c r="AQ105" s="79"/>
      <c r="AR105" s="79"/>
      <c r="AS105" s="79"/>
      <c r="AT105" s="79"/>
      <c r="AU105" s="6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69"/>
      <c r="BH105" s="79"/>
    </row>
    <row r="106" spans="1:60" ht="12.75">
      <c r="A106" s="77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84"/>
      <c r="AB106" s="84"/>
      <c r="AC106" s="84"/>
      <c r="AD106" s="84"/>
      <c r="AE106" s="69"/>
      <c r="AF106" s="85"/>
      <c r="AG106" s="85"/>
      <c r="AH106" s="85"/>
      <c r="AI106" s="85"/>
      <c r="AJ106" s="85"/>
      <c r="AK106" s="85"/>
      <c r="AL106" s="85"/>
      <c r="AM106" s="79"/>
      <c r="AN106" s="79"/>
      <c r="AO106" s="69"/>
      <c r="AP106" s="79"/>
      <c r="AQ106" s="79"/>
      <c r="AR106" s="79"/>
      <c r="AS106" s="79"/>
      <c r="AT106" s="79"/>
      <c r="AU106" s="6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69"/>
      <c r="BH106" s="79"/>
    </row>
    <row r="107" spans="1:60" ht="12.75">
      <c r="A107" s="77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84"/>
      <c r="AB107" s="84"/>
      <c r="AC107" s="84"/>
      <c r="AD107" s="84"/>
      <c r="AE107" s="69"/>
      <c r="AF107" s="85"/>
      <c r="AG107" s="85"/>
      <c r="AH107" s="85"/>
      <c r="AI107" s="85"/>
      <c r="AJ107" s="85"/>
      <c r="AK107" s="85"/>
      <c r="AL107" s="85"/>
      <c r="AM107" s="79"/>
      <c r="AN107" s="79"/>
      <c r="AO107" s="69"/>
      <c r="AP107" s="79"/>
      <c r="AQ107" s="79"/>
      <c r="AR107" s="79"/>
      <c r="AS107" s="79"/>
      <c r="AT107" s="79"/>
      <c r="AU107" s="6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69"/>
      <c r="BH107" s="79"/>
    </row>
    <row r="108" spans="1:60" ht="12.75">
      <c r="A108" s="77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84"/>
      <c r="AB108" s="84"/>
      <c r="AC108" s="84"/>
      <c r="AD108" s="84"/>
      <c r="AE108" s="69"/>
      <c r="AF108" s="85"/>
      <c r="AG108" s="85"/>
      <c r="AH108" s="85"/>
      <c r="AI108" s="85"/>
      <c r="AJ108" s="85"/>
      <c r="AK108" s="85"/>
      <c r="AL108" s="85"/>
      <c r="AM108" s="79"/>
      <c r="AN108" s="79"/>
      <c r="AO108" s="69"/>
      <c r="AP108" s="79"/>
      <c r="AQ108" s="79"/>
      <c r="AR108" s="79"/>
      <c r="AS108" s="79"/>
      <c r="AT108" s="79"/>
      <c r="AU108" s="6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69"/>
      <c r="BH108" s="79"/>
    </row>
    <row r="109" spans="1:60" ht="12.75">
      <c r="A109" s="77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84"/>
      <c r="AB109" s="84"/>
      <c r="AC109" s="84"/>
      <c r="AD109" s="84"/>
      <c r="AE109" s="69"/>
      <c r="AF109" s="85"/>
      <c r="AG109" s="85"/>
      <c r="AH109" s="85"/>
      <c r="AI109" s="85"/>
      <c r="AJ109" s="85"/>
      <c r="AK109" s="85"/>
      <c r="AL109" s="85"/>
      <c r="AM109" s="79"/>
      <c r="AN109" s="79"/>
      <c r="AO109" s="69"/>
      <c r="AP109" s="79"/>
      <c r="AQ109" s="79"/>
      <c r="AR109" s="79"/>
      <c r="AS109" s="79"/>
      <c r="AT109" s="79"/>
      <c r="AU109" s="6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69"/>
      <c r="BH109" s="79"/>
    </row>
    <row r="110" spans="1:60" ht="12.75">
      <c r="A110" s="77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84"/>
      <c r="AB110" s="84"/>
      <c r="AC110" s="84"/>
      <c r="AD110" s="84"/>
      <c r="AE110" s="69"/>
      <c r="AF110" s="85"/>
      <c r="AG110" s="85"/>
      <c r="AH110" s="85"/>
      <c r="AI110" s="85"/>
      <c r="AJ110" s="85"/>
      <c r="AK110" s="85"/>
      <c r="AL110" s="85"/>
      <c r="AM110" s="79"/>
      <c r="AN110" s="79"/>
      <c r="AO110" s="69"/>
      <c r="AP110" s="79"/>
      <c r="AQ110" s="79"/>
      <c r="AR110" s="79"/>
      <c r="AS110" s="79"/>
      <c r="AT110" s="79"/>
      <c r="AU110" s="6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69"/>
      <c r="BH110" s="79"/>
    </row>
    <row r="111" spans="1:60" ht="12.75">
      <c r="A111" s="77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84"/>
      <c r="AB111" s="84"/>
      <c r="AC111" s="84"/>
      <c r="AD111" s="84"/>
      <c r="AE111" s="69"/>
      <c r="AF111" s="85"/>
      <c r="AG111" s="85"/>
      <c r="AH111" s="85"/>
      <c r="AI111" s="85"/>
      <c r="AJ111" s="85"/>
      <c r="AK111" s="85"/>
      <c r="AL111" s="85"/>
      <c r="AM111" s="79"/>
      <c r="AN111" s="79"/>
      <c r="AO111" s="69"/>
      <c r="AP111" s="79"/>
      <c r="AQ111" s="79"/>
      <c r="AR111" s="79"/>
      <c r="AS111" s="79"/>
      <c r="AT111" s="79"/>
      <c r="AU111" s="6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69"/>
      <c r="BH111" s="79"/>
    </row>
    <row r="112" spans="1:60" ht="12.75">
      <c r="A112" s="77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84"/>
      <c r="AB112" s="84"/>
      <c r="AC112" s="84"/>
      <c r="AD112" s="84"/>
      <c r="AE112" s="69"/>
      <c r="AF112" s="85"/>
      <c r="AG112" s="85"/>
      <c r="AH112" s="85"/>
      <c r="AI112" s="85"/>
      <c r="AJ112" s="85"/>
      <c r="AK112" s="85"/>
      <c r="AL112" s="85"/>
      <c r="AM112" s="79"/>
      <c r="AN112" s="79"/>
      <c r="AO112" s="69"/>
      <c r="AP112" s="79"/>
      <c r="AQ112" s="79"/>
      <c r="AR112" s="79"/>
      <c r="AS112" s="79"/>
      <c r="AT112" s="79"/>
      <c r="AU112" s="6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69"/>
      <c r="BH112" s="79"/>
    </row>
    <row r="113" spans="2:60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84"/>
      <c r="AB113" s="84"/>
      <c r="AC113" s="84"/>
      <c r="AD113" s="84"/>
      <c r="AE113" s="69"/>
      <c r="AF113" s="85"/>
      <c r="AG113" s="85"/>
      <c r="AH113" s="85"/>
      <c r="AI113" s="85"/>
      <c r="AJ113" s="85"/>
      <c r="AK113" s="85"/>
      <c r="AL113" s="85"/>
      <c r="AM113" s="79"/>
      <c r="AN113" s="79"/>
      <c r="AO113" s="69"/>
      <c r="AP113" s="79"/>
      <c r="AQ113" s="79"/>
      <c r="AR113" s="79"/>
      <c r="AS113" s="79"/>
      <c r="AT113" s="79"/>
      <c r="AU113" s="6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69"/>
      <c r="BH113" s="79"/>
    </row>
  </sheetData>
  <sheetProtection/>
  <printOptions/>
  <pageMargins left="1" right="1" top="0.5" bottom="0.5" header="0" footer="0.25"/>
  <pageSetup firstPageNumber="52" useFirstPageNumber="1" horizontalDpi="600" verticalDpi="600" orientation="portrait" r:id="rId1"/>
  <headerFooter scaleWithDoc="0" alignWithMargins="0">
    <oddFooter>&amp;C&amp;"Times New Roman,Regular"&amp;11&amp;P</oddFooter>
  </headerFooter>
  <colBreaks count="2" manualBreakCount="2">
    <brk id="22" max="97" man="1"/>
    <brk id="48" max="9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X109"/>
  <sheetViews>
    <sheetView tabSelected="1" zoomScale="130" zoomScaleNormal="130" zoomScaleSheetLayoutView="75" zoomScalePageLayoutView="0" workbookViewId="0" topLeftCell="A1">
      <pane xSplit="1" ySplit="8" topLeftCell="B64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A7" sqref="A7"/>
    </sheetView>
  </sheetViews>
  <sheetFormatPr defaultColWidth="9.140625" defaultRowHeight="12" customHeight="1"/>
  <cols>
    <col min="1" max="1" width="15.7109375" style="124" customWidth="1"/>
    <col min="2" max="2" width="1.7109375" style="124" customWidth="1"/>
    <col min="3" max="3" width="11.7109375" style="124" customWidth="1"/>
    <col min="4" max="4" width="1.7109375" style="124" customWidth="1"/>
    <col min="5" max="5" width="11.7109375" style="124" customWidth="1"/>
    <col min="6" max="6" width="1.7109375" style="124" customWidth="1"/>
    <col min="7" max="7" width="11.7109375" style="124" customWidth="1"/>
    <col min="8" max="8" width="1.7109375" style="124" customWidth="1"/>
    <col min="9" max="9" width="11.7109375" style="124" customWidth="1"/>
    <col min="10" max="10" width="1.7109375" style="124" customWidth="1"/>
    <col min="11" max="11" width="11.7109375" style="124" customWidth="1"/>
    <col min="12" max="12" width="1.7109375" style="124" customWidth="1"/>
    <col min="13" max="13" width="12.7109375" style="124" customWidth="1"/>
    <col min="14" max="14" width="1.7109375" style="124" customWidth="1"/>
    <col min="15" max="15" width="12.7109375" style="124" customWidth="1"/>
    <col min="16" max="16" width="1.7109375" style="124" customWidth="1"/>
    <col min="17" max="17" width="12.7109375" style="124" customWidth="1"/>
    <col min="18" max="18" width="3.57421875" style="124" customWidth="1"/>
    <col min="19" max="19" width="11.8515625" style="124" customWidth="1"/>
    <col min="20" max="20" width="3.00390625" style="124" customWidth="1"/>
    <col min="21" max="21" width="12.28125" style="97" bestFit="1" customWidth="1"/>
    <col min="22" max="22" width="9.140625" style="97" customWidth="1"/>
    <col min="23" max="23" width="11.28125" style="97" bestFit="1" customWidth="1"/>
    <col min="24" max="24" width="10.7109375" style="97" bestFit="1" customWidth="1"/>
    <col min="25" max="16384" width="9.140625" style="97" customWidth="1"/>
  </cols>
  <sheetData>
    <row r="1" spans="1:20" s="66" customFormat="1" ht="12" customHeight="1">
      <c r="A1" s="63" t="s">
        <v>251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2"/>
      <c r="S1" s="42"/>
      <c r="T1" s="121"/>
    </row>
    <row r="2" spans="1:20" s="66" customFormat="1" ht="12" customHeight="1">
      <c r="A2" s="63" t="s">
        <v>254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42"/>
      <c r="S2" s="42"/>
      <c r="T2" s="121"/>
    </row>
    <row r="3" spans="1:20" s="66" customFormat="1" ht="12" customHeight="1">
      <c r="A3" s="49" t="s">
        <v>249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2"/>
      <c r="S3" s="42"/>
      <c r="T3" s="121"/>
    </row>
    <row r="4" spans="1:20" s="66" customFormat="1" ht="12" customHeight="1">
      <c r="A4" s="57" t="s">
        <v>184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2"/>
      <c r="S4" s="42"/>
      <c r="T4" s="121"/>
    </row>
    <row r="5" spans="1:19" ht="12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32"/>
      <c r="S5" s="32"/>
    </row>
    <row r="6" spans="1:18" ht="12" customHeight="1">
      <c r="A6" s="63"/>
      <c r="B6" s="19"/>
      <c r="C6" s="19" t="s">
        <v>103</v>
      </c>
      <c r="D6" s="19"/>
      <c r="E6" s="19" t="s">
        <v>2</v>
      </c>
      <c r="F6" s="19"/>
      <c r="G6" s="19"/>
      <c r="H6" s="19"/>
      <c r="I6" s="19"/>
      <c r="J6" s="19"/>
      <c r="K6" s="19"/>
      <c r="L6" s="19"/>
      <c r="M6" s="19"/>
      <c r="N6" s="19"/>
      <c r="O6" s="19" t="s">
        <v>124</v>
      </c>
      <c r="P6" s="19"/>
      <c r="Q6" s="19"/>
      <c r="R6" s="32"/>
    </row>
    <row r="7" spans="1:21" ht="12" customHeight="1">
      <c r="A7" s="19"/>
      <c r="B7" s="19"/>
      <c r="C7" s="19" t="s">
        <v>107</v>
      </c>
      <c r="D7" s="19"/>
      <c r="E7" s="19" t="s">
        <v>127</v>
      </c>
      <c r="F7" s="19"/>
      <c r="G7" s="19" t="s">
        <v>126</v>
      </c>
      <c r="H7" s="19"/>
      <c r="I7" s="19" t="s">
        <v>114</v>
      </c>
      <c r="J7" s="19"/>
      <c r="K7" s="19" t="s">
        <v>87</v>
      </c>
      <c r="L7" s="19"/>
      <c r="M7" s="19" t="s">
        <v>125</v>
      </c>
      <c r="N7" s="19"/>
      <c r="O7" s="19" t="s">
        <v>105</v>
      </c>
      <c r="P7" s="19"/>
      <c r="Q7" s="19" t="s">
        <v>4</v>
      </c>
      <c r="R7" s="32"/>
      <c r="S7" s="32" t="s">
        <v>220</v>
      </c>
      <c r="U7" s="97" t="s">
        <v>218</v>
      </c>
    </row>
    <row r="8" spans="1:21" ht="12" customHeight="1">
      <c r="A8" s="22" t="s">
        <v>5</v>
      </c>
      <c r="B8" s="19"/>
      <c r="C8" s="22" t="s">
        <v>113</v>
      </c>
      <c r="D8" s="19"/>
      <c r="E8" s="22" t="s">
        <v>113</v>
      </c>
      <c r="F8" s="19"/>
      <c r="G8" s="22" t="s">
        <v>130</v>
      </c>
      <c r="H8" s="19"/>
      <c r="I8" s="22" t="s">
        <v>131</v>
      </c>
      <c r="J8" s="19"/>
      <c r="K8" s="22" t="s">
        <v>128</v>
      </c>
      <c r="L8" s="19"/>
      <c r="M8" s="22" t="s">
        <v>129</v>
      </c>
      <c r="N8" s="19"/>
      <c r="O8" s="22" t="s">
        <v>122</v>
      </c>
      <c r="P8" s="19"/>
      <c r="Q8" s="22" t="s">
        <v>122</v>
      </c>
      <c r="R8" s="23"/>
      <c r="S8" s="123" t="s">
        <v>221</v>
      </c>
      <c r="U8" s="125" t="s">
        <v>222</v>
      </c>
    </row>
    <row r="9" spans="1:2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3"/>
      <c r="S9" s="23"/>
      <c r="U9" s="98"/>
    </row>
    <row r="10" spans="1:21" ht="12" customHeight="1" hidden="1">
      <c r="A10" s="89" t="s">
        <v>237</v>
      </c>
      <c r="B10" s="19"/>
      <c r="C10" s="47">
        <v>0</v>
      </c>
      <c r="D10" s="47"/>
      <c r="E10" s="47">
        <v>0</v>
      </c>
      <c r="F10" s="47"/>
      <c r="G10" s="47">
        <v>0</v>
      </c>
      <c r="H10" s="47"/>
      <c r="I10" s="47">
        <v>0</v>
      </c>
      <c r="J10" s="47"/>
      <c r="K10" s="47">
        <v>0</v>
      </c>
      <c r="L10" s="47"/>
      <c r="M10" s="47">
        <v>0</v>
      </c>
      <c r="N10" s="47"/>
      <c r="O10" s="47">
        <v>0</v>
      </c>
      <c r="P10" s="47"/>
      <c r="Q10" s="47">
        <f>SUM(C10:O10)</f>
        <v>0</v>
      </c>
      <c r="R10" s="37"/>
      <c r="S10" s="47">
        <v>0</v>
      </c>
      <c r="U10" s="96">
        <f>+Q10-'St of Net Assets - GA'!M10-'LT _Lia - GA'!S10</f>
        <v>0</v>
      </c>
    </row>
    <row r="11" spans="1:23" ht="12" customHeight="1">
      <c r="A11" s="32" t="s">
        <v>13</v>
      </c>
      <c r="B11" s="32"/>
      <c r="C11" s="47">
        <v>9552999</v>
      </c>
      <c r="D11" s="47"/>
      <c r="E11" s="47">
        <v>4191271</v>
      </c>
      <c r="F11" s="47"/>
      <c r="G11" s="47">
        <v>494667</v>
      </c>
      <c r="H11" s="47"/>
      <c r="I11" s="47">
        <f>8831301-3197398-494667</f>
        <v>5139236</v>
      </c>
      <c r="J11" s="47"/>
      <c r="K11" s="47">
        <v>0</v>
      </c>
      <c r="L11" s="47"/>
      <c r="M11" s="47">
        <v>3197398</v>
      </c>
      <c r="N11" s="47"/>
      <c r="O11" s="47">
        <v>0</v>
      </c>
      <c r="P11" s="47"/>
      <c r="Q11" s="47">
        <f>SUM(C11:O11)</f>
        <v>22575571</v>
      </c>
      <c r="R11" s="37"/>
      <c r="S11" s="47">
        <v>3625544</v>
      </c>
      <c r="U11" s="96">
        <f>+Q11-'St of Net Assets - GA'!M11-'LT _Lia - GA'!S11</f>
        <v>-13302</v>
      </c>
      <c r="W11" s="96"/>
    </row>
    <row r="12" spans="1:21" ht="12" customHeight="1">
      <c r="A12" s="32" t="s">
        <v>14</v>
      </c>
      <c r="B12" s="32"/>
      <c r="C12" s="30">
        <v>2620000</v>
      </c>
      <c r="D12" s="30"/>
      <c r="E12" s="30">
        <v>0</v>
      </c>
      <c r="F12" s="30"/>
      <c r="G12" s="30">
        <v>0</v>
      </c>
      <c r="H12" s="30"/>
      <c r="I12" s="30">
        <v>0</v>
      </c>
      <c r="J12" s="30"/>
      <c r="K12" s="30">
        <v>118417</v>
      </c>
      <c r="L12" s="30"/>
      <c r="M12" s="30">
        <v>1153516</v>
      </c>
      <c r="N12" s="30"/>
      <c r="O12" s="30">
        <v>0</v>
      </c>
      <c r="P12" s="30"/>
      <c r="Q12" s="30">
        <f aca="true" t="shared" si="0" ref="Q12:Q28">SUM(C12:O12)</f>
        <v>3891933</v>
      </c>
      <c r="R12" s="37"/>
      <c r="S12" s="30">
        <v>866489</v>
      </c>
      <c r="U12" s="96">
        <f>+Q12-'St of Net Assets - GA'!M12-'LT _Lia - GA'!S12</f>
        <v>0</v>
      </c>
    </row>
    <row r="13" spans="1:23" ht="12" customHeight="1">
      <c r="A13" s="32" t="s">
        <v>15</v>
      </c>
      <c r="B13" s="32"/>
      <c r="C13" s="30">
        <v>6296345</v>
      </c>
      <c r="D13" s="30"/>
      <c r="E13" s="30">
        <v>0</v>
      </c>
      <c r="F13" s="30"/>
      <c r="G13" s="30">
        <v>0</v>
      </c>
      <c r="H13" s="30"/>
      <c r="I13" s="30">
        <v>216321</v>
      </c>
      <c r="J13" s="30"/>
      <c r="K13" s="30">
        <v>475275</v>
      </c>
      <c r="L13" s="30"/>
      <c r="M13" s="30">
        <v>2818655</v>
      </c>
      <c r="N13" s="30"/>
      <c r="O13" s="30">
        <f>81878+320047</f>
        <v>401925</v>
      </c>
      <c r="P13" s="30"/>
      <c r="Q13" s="30">
        <f t="shared" si="0"/>
        <v>10208521</v>
      </c>
      <c r="R13" s="37"/>
      <c r="S13" s="30">
        <v>1561296</v>
      </c>
      <c r="U13" s="96">
        <f>+Q13-'St of Net Assets - GA'!M13-'LT _Lia - GA'!S13</f>
        <v>-1</v>
      </c>
      <c r="W13" s="96"/>
    </row>
    <row r="14" spans="1:23" ht="12" customHeight="1">
      <c r="A14" s="32" t="s">
        <v>16</v>
      </c>
      <c r="B14" s="32"/>
      <c r="C14" s="30">
        <f>665000+752000</f>
        <v>1417000</v>
      </c>
      <c r="D14" s="30"/>
      <c r="E14" s="30">
        <v>0</v>
      </c>
      <c r="F14" s="30"/>
      <c r="G14" s="30">
        <v>9397</v>
      </c>
      <c r="H14" s="30"/>
      <c r="I14" s="30">
        <v>527255</v>
      </c>
      <c r="J14" s="30"/>
      <c r="K14" s="30">
        <v>83251</v>
      </c>
      <c r="L14" s="30"/>
      <c r="M14" s="30">
        <v>1897281</v>
      </c>
      <c r="N14" s="30"/>
      <c r="O14" s="30">
        <v>2508154</v>
      </c>
      <c r="P14" s="30"/>
      <c r="Q14" s="30">
        <f t="shared" si="0"/>
        <v>6442338</v>
      </c>
      <c r="R14" s="37"/>
      <c r="S14" s="30">
        <v>1955263</v>
      </c>
      <c r="U14" s="96">
        <f>+Q14-'St of Net Assets - GA'!M14-'LT _Lia - GA'!S14</f>
        <v>0</v>
      </c>
      <c r="W14" s="104"/>
    </row>
    <row r="15" spans="1:23" ht="12" customHeight="1">
      <c r="A15" s="32" t="s">
        <v>17</v>
      </c>
      <c r="B15" s="32"/>
      <c r="C15" s="30">
        <f>280000</f>
        <v>280000</v>
      </c>
      <c r="D15" s="30"/>
      <c r="E15" s="30">
        <v>440000</v>
      </c>
      <c r="F15" s="30"/>
      <c r="G15" s="30">
        <v>818033</v>
      </c>
      <c r="H15" s="30"/>
      <c r="I15" s="30">
        <f>66488</f>
        <v>66488</v>
      </c>
      <c r="J15" s="30"/>
      <c r="K15" s="30">
        <v>0</v>
      </c>
      <c r="L15" s="30"/>
      <c r="M15" s="30">
        <v>1675949</v>
      </c>
      <c r="N15" s="30"/>
      <c r="O15" s="30">
        <v>0</v>
      </c>
      <c r="P15" s="30"/>
      <c r="Q15" s="30">
        <f t="shared" si="0"/>
        <v>3280470</v>
      </c>
      <c r="R15" s="37"/>
      <c r="S15" s="30">
        <v>1127472</v>
      </c>
      <c r="U15" s="96">
        <f>+Q15-'St of Net Assets - GA'!M15-'LT _Lia - GA'!S15</f>
        <v>0</v>
      </c>
      <c r="W15" s="96"/>
    </row>
    <row r="16" spans="1:21" ht="12" customHeight="1">
      <c r="A16" s="32" t="s">
        <v>18</v>
      </c>
      <c r="B16" s="32"/>
      <c r="C16" s="30">
        <v>7741891</v>
      </c>
      <c r="D16" s="30"/>
      <c r="E16" s="30">
        <v>0</v>
      </c>
      <c r="F16" s="30"/>
      <c r="G16" s="30">
        <v>0</v>
      </c>
      <c r="H16" s="30"/>
      <c r="I16" s="30">
        <v>168466</v>
      </c>
      <c r="J16" s="30"/>
      <c r="K16" s="30">
        <v>133333</v>
      </c>
      <c r="L16" s="30"/>
      <c r="M16" s="30">
        <v>3060620</v>
      </c>
      <c r="N16" s="30"/>
      <c r="O16" s="30">
        <v>0</v>
      </c>
      <c r="P16" s="30"/>
      <c r="Q16" s="30">
        <f t="shared" si="0"/>
        <v>11104310</v>
      </c>
      <c r="R16" s="37"/>
      <c r="S16" s="30">
        <v>1734717</v>
      </c>
      <c r="U16" s="96">
        <f>+Q16-'St of Net Assets - GA'!M16-'LT _Lia - GA'!S16</f>
        <v>0</v>
      </c>
    </row>
    <row r="17" spans="1:21" s="124" customFormat="1" ht="12" customHeight="1" hidden="1">
      <c r="A17" s="32" t="s">
        <v>240</v>
      </c>
      <c r="B17" s="32"/>
      <c r="C17" s="30">
        <v>0</v>
      </c>
      <c r="D17" s="30"/>
      <c r="E17" s="30">
        <v>0</v>
      </c>
      <c r="F17" s="30"/>
      <c r="G17" s="30">
        <v>0</v>
      </c>
      <c r="H17" s="30"/>
      <c r="I17" s="145">
        <v>0</v>
      </c>
      <c r="J17" s="30"/>
      <c r="K17" s="30">
        <v>0</v>
      </c>
      <c r="L17" s="30"/>
      <c r="M17" s="30">
        <v>0</v>
      </c>
      <c r="N17" s="30"/>
      <c r="O17" s="30">
        <v>0</v>
      </c>
      <c r="P17" s="30"/>
      <c r="Q17" s="30">
        <f t="shared" si="0"/>
        <v>0</v>
      </c>
      <c r="R17" s="37"/>
      <c r="S17" s="30">
        <v>0</v>
      </c>
      <c r="U17" s="96">
        <f>+Q17-'St of Net Assets - GA'!M17-'LT _Lia - GA'!S17</f>
        <v>0</v>
      </c>
    </row>
    <row r="18" spans="1:21" ht="12" customHeight="1" hidden="1">
      <c r="A18" s="32" t="s">
        <v>19</v>
      </c>
      <c r="B18" s="32"/>
      <c r="C18" s="30">
        <v>0</v>
      </c>
      <c r="D18" s="30"/>
      <c r="E18" s="30">
        <v>0</v>
      </c>
      <c r="F18" s="30"/>
      <c r="G18" s="30">
        <v>0</v>
      </c>
      <c r="H18" s="30"/>
      <c r="I18" s="30">
        <v>0</v>
      </c>
      <c r="J18" s="30"/>
      <c r="K18" s="30">
        <v>0</v>
      </c>
      <c r="L18" s="30"/>
      <c r="M18" s="30">
        <v>0</v>
      </c>
      <c r="N18" s="30"/>
      <c r="O18" s="30">
        <v>0</v>
      </c>
      <c r="P18" s="30"/>
      <c r="Q18" s="30">
        <f t="shared" si="0"/>
        <v>0</v>
      </c>
      <c r="R18" s="37"/>
      <c r="S18" s="30">
        <v>0</v>
      </c>
      <c r="U18" s="96">
        <f>+Q18-'St of Net Assets - GA'!M18-'LT _Lia - GA'!S18</f>
        <v>-100389083</v>
      </c>
    </row>
    <row r="19" spans="1:24" ht="12" customHeight="1">
      <c r="A19" s="32" t="s">
        <v>20</v>
      </c>
      <c r="B19" s="32"/>
      <c r="C19" s="30">
        <v>413200</v>
      </c>
      <c r="D19" s="30"/>
      <c r="E19" s="30">
        <v>0</v>
      </c>
      <c r="F19" s="30"/>
      <c r="G19" s="30">
        <v>0</v>
      </c>
      <c r="H19" s="30"/>
      <c r="I19" s="30">
        <v>38640</v>
      </c>
      <c r="J19" s="30"/>
      <c r="K19" s="30">
        <v>70253</v>
      </c>
      <c r="L19" s="30"/>
      <c r="M19" s="30">
        <v>974533</v>
      </c>
      <c r="N19" s="30"/>
      <c r="O19" s="30">
        <v>25000</v>
      </c>
      <c r="P19" s="30"/>
      <c r="Q19" s="30">
        <f>SUM(C19:O19)</f>
        <v>1521626</v>
      </c>
      <c r="R19" s="37"/>
      <c r="S19" s="30">
        <v>34843</v>
      </c>
      <c r="U19" s="96">
        <f>+Q19-'St of Net Assets - GA'!M19-'LT _Lia - GA'!S19</f>
        <v>0</v>
      </c>
      <c r="X19" s="118"/>
    </row>
    <row r="20" spans="1:21" ht="12" customHeight="1" hidden="1">
      <c r="A20" s="23" t="s">
        <v>173</v>
      </c>
      <c r="B20" s="23"/>
      <c r="C20" s="30">
        <v>0</v>
      </c>
      <c r="D20" s="30"/>
      <c r="E20" s="30">
        <v>0</v>
      </c>
      <c r="F20" s="30"/>
      <c r="G20" s="30">
        <v>0</v>
      </c>
      <c r="H20" s="30"/>
      <c r="I20" s="30">
        <v>0</v>
      </c>
      <c r="J20" s="30"/>
      <c r="K20" s="30">
        <v>0</v>
      </c>
      <c r="L20" s="30"/>
      <c r="M20" s="30">
        <v>0</v>
      </c>
      <c r="N20" s="30"/>
      <c r="O20" s="30">
        <v>0</v>
      </c>
      <c r="P20" s="30"/>
      <c r="Q20" s="30">
        <f t="shared" si="0"/>
        <v>0</v>
      </c>
      <c r="R20" s="37"/>
      <c r="S20" s="30">
        <v>0</v>
      </c>
      <c r="U20" s="96">
        <f>+Q20-'St of Net Assets - GA'!M20-'LT _Lia - GA'!S20</f>
        <v>0</v>
      </c>
    </row>
    <row r="21" spans="1:21" ht="12" customHeight="1">
      <c r="A21" s="32" t="s">
        <v>21</v>
      </c>
      <c r="B21" s="32"/>
      <c r="C21" s="30">
        <v>15760000</v>
      </c>
      <c r="D21" s="30"/>
      <c r="E21" s="30">
        <v>0</v>
      </c>
      <c r="F21" s="30"/>
      <c r="G21" s="30">
        <v>0</v>
      </c>
      <c r="H21" s="30"/>
      <c r="I21" s="30">
        <v>0</v>
      </c>
      <c r="J21" s="30"/>
      <c r="K21" s="30">
        <v>0</v>
      </c>
      <c r="L21" s="30"/>
      <c r="M21" s="30">
        <v>4580512</v>
      </c>
      <c r="N21" s="30"/>
      <c r="O21" s="30">
        <f>226401-137706</f>
        <v>88695</v>
      </c>
      <c r="P21" s="30"/>
      <c r="Q21" s="30">
        <f t="shared" si="0"/>
        <v>20429207</v>
      </c>
      <c r="R21" s="37"/>
      <c r="S21" s="30">
        <v>1734047</v>
      </c>
      <c r="U21" s="96">
        <f>+Q21-'St of Net Assets - GA'!M21-'LT _Lia - GA'!S21</f>
        <v>-1</v>
      </c>
    </row>
    <row r="22" spans="1:21" ht="12" customHeight="1">
      <c r="A22" s="32" t="s">
        <v>181</v>
      </c>
      <c r="B22" s="32"/>
      <c r="C22" s="30">
        <f>5890000</f>
        <v>5890000</v>
      </c>
      <c r="D22" s="30"/>
      <c r="E22" s="30">
        <v>5042000</v>
      </c>
      <c r="F22" s="30"/>
      <c r="G22" s="30">
        <v>0</v>
      </c>
      <c r="H22" s="30"/>
      <c r="I22" s="30">
        <f>1219815</f>
        <v>1219815</v>
      </c>
      <c r="J22" s="30"/>
      <c r="K22" s="30">
        <v>0</v>
      </c>
      <c r="L22" s="30"/>
      <c r="M22" s="30">
        <v>5252480</v>
      </c>
      <c r="N22" s="30"/>
      <c r="O22" s="30"/>
      <c r="P22" s="30"/>
      <c r="Q22" s="30">
        <f t="shared" si="0"/>
        <v>17404295</v>
      </c>
      <c r="R22" s="37"/>
      <c r="S22" s="30">
        <v>7622494</v>
      </c>
      <c r="U22" s="96">
        <f>+Q22-'St of Net Assets - GA'!M22-'LT _Lia - GA'!S22</f>
        <v>0</v>
      </c>
    </row>
    <row r="23" spans="1:21" ht="12" customHeight="1">
      <c r="A23" s="32" t="s">
        <v>22</v>
      </c>
      <c r="B23" s="32"/>
      <c r="C23" s="30">
        <v>10955600</v>
      </c>
      <c r="D23" s="30"/>
      <c r="E23" s="30">
        <v>69596</v>
      </c>
      <c r="F23" s="30"/>
      <c r="G23" s="30">
        <v>0</v>
      </c>
      <c r="H23" s="30"/>
      <c r="I23" s="30">
        <v>180000</v>
      </c>
      <c r="J23" s="30"/>
      <c r="K23" s="30">
        <v>89352</v>
      </c>
      <c r="L23" s="30"/>
      <c r="M23" s="30">
        <v>1221455</v>
      </c>
      <c r="N23" s="30"/>
      <c r="O23" s="30">
        <f>72430-93945</f>
        <v>-21515</v>
      </c>
      <c r="P23" s="30"/>
      <c r="Q23" s="30">
        <f t="shared" si="0"/>
        <v>12494488</v>
      </c>
      <c r="R23" s="37"/>
      <c r="S23" s="30">
        <v>1259910</v>
      </c>
      <c r="U23" s="96">
        <f>+Q23-'St of Net Assets - GA'!M23-'LT _Lia - GA'!S23</f>
        <v>0</v>
      </c>
    </row>
    <row r="24" spans="1:21" ht="12" customHeight="1" hidden="1">
      <c r="A24" s="32" t="s">
        <v>23</v>
      </c>
      <c r="B24" s="32"/>
      <c r="C24" s="30">
        <v>0</v>
      </c>
      <c r="D24" s="30"/>
      <c r="E24" s="30">
        <v>0</v>
      </c>
      <c r="F24" s="30"/>
      <c r="G24" s="30">
        <v>0</v>
      </c>
      <c r="H24" s="30"/>
      <c r="I24" s="30">
        <v>0</v>
      </c>
      <c r="J24" s="30"/>
      <c r="K24" s="30">
        <v>0</v>
      </c>
      <c r="L24" s="30"/>
      <c r="M24" s="30">
        <v>0</v>
      </c>
      <c r="N24" s="30"/>
      <c r="O24" s="30">
        <v>0</v>
      </c>
      <c r="P24" s="30"/>
      <c r="Q24" s="30">
        <f t="shared" si="0"/>
        <v>0</v>
      </c>
      <c r="R24" s="37"/>
      <c r="S24" s="30">
        <v>0</v>
      </c>
      <c r="U24" s="96">
        <f>+Q24-'St of Net Assets - GA'!M24-'LT _Lia - GA'!S24</f>
        <v>0</v>
      </c>
    </row>
    <row r="25" spans="1:21" ht="12" customHeight="1">
      <c r="A25" s="32" t="s">
        <v>24</v>
      </c>
      <c r="B25" s="32"/>
      <c r="C25" s="30">
        <v>3180000</v>
      </c>
      <c r="D25" s="30"/>
      <c r="E25" s="30">
        <v>0</v>
      </c>
      <c r="F25" s="30"/>
      <c r="G25" s="30">
        <v>225000</v>
      </c>
      <c r="H25" s="30"/>
      <c r="I25" s="30">
        <v>825003</v>
      </c>
      <c r="J25" s="30"/>
      <c r="K25" s="30">
        <v>98258</v>
      </c>
      <c r="L25" s="30"/>
      <c r="M25" s="30">
        <v>1179519</v>
      </c>
      <c r="N25" s="30"/>
      <c r="O25" s="30">
        <v>0</v>
      </c>
      <c r="P25" s="30"/>
      <c r="Q25" s="30">
        <f t="shared" si="0"/>
        <v>5507780</v>
      </c>
      <c r="R25" s="37"/>
      <c r="S25" s="30">
        <v>1020554</v>
      </c>
      <c r="U25" s="96">
        <f>+Q25-'St of Net Assets - GA'!M25-'LT _Lia - GA'!S25</f>
        <v>0</v>
      </c>
    </row>
    <row r="26" spans="1:21" ht="12" customHeight="1">
      <c r="A26" s="32" t="s">
        <v>243</v>
      </c>
      <c r="B26" s="32"/>
      <c r="C26" s="30">
        <v>13556181</v>
      </c>
      <c r="D26" s="30"/>
      <c r="E26" s="30">
        <v>0</v>
      </c>
      <c r="F26" s="30"/>
      <c r="G26" s="30">
        <v>0</v>
      </c>
      <c r="H26" s="30"/>
      <c r="I26" s="30">
        <v>0</v>
      </c>
      <c r="J26" s="30"/>
      <c r="K26" s="30">
        <v>0</v>
      </c>
      <c r="L26" s="30"/>
      <c r="M26" s="30">
        <v>1122887</v>
      </c>
      <c r="N26" s="30"/>
      <c r="O26" s="30">
        <v>0</v>
      </c>
      <c r="P26" s="30"/>
      <c r="Q26" s="30">
        <f t="shared" si="0"/>
        <v>14679068</v>
      </c>
      <c r="R26" s="37"/>
      <c r="S26" s="30">
        <v>883001</v>
      </c>
      <c r="U26" s="96">
        <f>+Q26-'St of Net Assets - GA'!M26-'LT _Lia - GA'!S26</f>
        <v>0</v>
      </c>
    </row>
    <row r="27" spans="1:21" ht="12" customHeight="1">
      <c r="A27" s="32" t="s">
        <v>25</v>
      </c>
      <c r="B27" s="32"/>
      <c r="C27" s="30">
        <f>(315780+5678+93025+15681)*1000</f>
        <v>430164000</v>
      </c>
      <c r="D27" s="30"/>
      <c r="E27" s="30">
        <v>0</v>
      </c>
      <c r="F27" s="30"/>
      <c r="G27" s="30">
        <f>10000*1000</f>
        <v>10000000</v>
      </c>
      <c r="H27" s="30"/>
      <c r="I27" s="30">
        <f>7805*1000</f>
        <v>7805000</v>
      </c>
      <c r="J27" s="30"/>
      <c r="K27" s="30">
        <f>24220*1000</f>
        <v>24220000</v>
      </c>
      <c r="L27" s="30"/>
      <c r="M27" s="30">
        <f>27596*1000</f>
        <v>27596000</v>
      </c>
      <c r="N27" s="30"/>
      <c r="O27" s="30">
        <f>(31509+189+2158+4399+81)*1000</f>
        <v>38336000</v>
      </c>
      <c r="P27" s="30"/>
      <c r="Q27" s="30">
        <f t="shared" si="0"/>
        <v>538121000</v>
      </c>
      <c r="R27" s="37"/>
      <c r="S27" s="30">
        <f>56544*1000</f>
        <v>56544000</v>
      </c>
      <c r="U27" s="96">
        <f>+Q27-'St of Net Assets - GA'!M27-'LT _Lia - GA'!S27</f>
        <v>0</v>
      </c>
    </row>
    <row r="28" spans="1:21" s="176" customFormat="1" ht="12" customHeight="1" hidden="1">
      <c r="A28" s="171" t="s">
        <v>26</v>
      </c>
      <c r="B28" s="171"/>
      <c r="C28" s="173">
        <v>0</v>
      </c>
      <c r="D28" s="173"/>
      <c r="E28" s="173">
        <v>0</v>
      </c>
      <c r="F28" s="173"/>
      <c r="G28" s="173">
        <v>0</v>
      </c>
      <c r="H28" s="173"/>
      <c r="I28" s="173">
        <v>0</v>
      </c>
      <c r="J28" s="173"/>
      <c r="K28" s="173"/>
      <c r="L28" s="173"/>
      <c r="M28" s="173"/>
      <c r="N28" s="173"/>
      <c r="O28" s="173">
        <v>0</v>
      </c>
      <c r="P28" s="173"/>
      <c r="Q28" s="173">
        <f t="shared" si="0"/>
        <v>0</v>
      </c>
      <c r="R28" s="174"/>
      <c r="S28" s="173">
        <v>0</v>
      </c>
      <c r="T28" s="175"/>
      <c r="U28" s="168" t="e">
        <f>+Q28-'St of Net Assets - GA'!#REF!-'LT _Lia - GA'!S28</f>
        <v>#REF!</v>
      </c>
    </row>
    <row r="29" spans="1:21" ht="12" customHeight="1">
      <c r="A29" s="32" t="s">
        <v>27</v>
      </c>
      <c r="B29" s="32"/>
      <c r="C29" s="30">
        <f>4160000+33217-49817</f>
        <v>4143400</v>
      </c>
      <c r="D29" s="30"/>
      <c r="E29" s="30">
        <v>935000</v>
      </c>
      <c r="F29" s="30"/>
      <c r="G29" s="30">
        <v>580250</v>
      </c>
      <c r="H29" s="30"/>
      <c r="I29" s="30">
        <f>210622+2635379</f>
        <v>2846001</v>
      </c>
      <c r="J29" s="30"/>
      <c r="K29" s="30">
        <v>234261</v>
      </c>
      <c r="L29" s="30"/>
      <c r="M29" s="30">
        <v>1124660</v>
      </c>
      <c r="N29" s="30"/>
      <c r="O29" s="30">
        <v>0</v>
      </c>
      <c r="P29" s="30"/>
      <c r="Q29" s="30">
        <f aca="true" t="shared" si="1" ref="Q29:Q93">SUM(C29:O29)</f>
        <v>9863572</v>
      </c>
      <c r="R29" s="37"/>
      <c r="S29" s="30">
        <v>1608615</v>
      </c>
      <c r="U29" s="96">
        <f>+Q29-'St of Net Assets - GA'!M29-'LT _Lia - GA'!S29</f>
        <v>0</v>
      </c>
    </row>
    <row r="30" spans="1:21" ht="12" customHeight="1">
      <c r="A30" s="32" t="s">
        <v>28</v>
      </c>
      <c r="B30" s="32"/>
      <c r="C30" s="30">
        <v>38497874</v>
      </c>
      <c r="D30" s="30"/>
      <c r="E30" s="30">
        <v>5048239</v>
      </c>
      <c r="F30" s="30"/>
      <c r="G30" s="30">
        <v>0</v>
      </c>
      <c r="H30" s="30"/>
      <c r="I30" s="30">
        <v>0</v>
      </c>
      <c r="J30" s="30"/>
      <c r="K30" s="30">
        <v>0</v>
      </c>
      <c r="L30" s="30"/>
      <c r="M30" s="30">
        <v>3941809</v>
      </c>
      <c r="N30" s="30"/>
      <c r="O30" s="30">
        <v>0</v>
      </c>
      <c r="P30" s="30"/>
      <c r="Q30" s="30">
        <f t="shared" si="1"/>
        <v>47487922</v>
      </c>
      <c r="R30" s="37"/>
      <c r="S30" s="30">
        <v>4491035</v>
      </c>
      <c r="U30" s="96">
        <f>+Q30-'St of Net Assets - GA'!M30-'LT _Lia - GA'!S30</f>
        <v>0</v>
      </c>
    </row>
    <row r="31" spans="1:21" ht="12" customHeight="1">
      <c r="A31" s="32" t="s">
        <v>29</v>
      </c>
      <c r="B31" s="32"/>
      <c r="C31" s="30">
        <v>15408084</v>
      </c>
      <c r="D31" s="30"/>
      <c r="E31" s="30">
        <v>535727</v>
      </c>
      <c r="F31" s="30"/>
      <c r="G31" s="30">
        <v>0</v>
      </c>
      <c r="H31" s="30"/>
      <c r="I31" s="30">
        <v>0</v>
      </c>
      <c r="J31" s="30"/>
      <c r="K31" s="30">
        <v>54402</v>
      </c>
      <c r="L31" s="30"/>
      <c r="M31" s="30">
        <v>2656074</v>
      </c>
      <c r="N31" s="30"/>
      <c r="O31" s="30">
        <v>0</v>
      </c>
      <c r="P31" s="30"/>
      <c r="Q31" s="30">
        <f t="shared" si="1"/>
        <v>18654287</v>
      </c>
      <c r="R31" s="37"/>
      <c r="S31" s="30">
        <v>2360681</v>
      </c>
      <c r="U31" s="96">
        <f>+Q31-'St of Net Assets - GA'!M31-'LT _Lia - GA'!S31</f>
        <v>0</v>
      </c>
    </row>
    <row r="32" spans="1:21" ht="12" customHeight="1">
      <c r="A32" s="32" t="s">
        <v>30</v>
      </c>
      <c r="B32" s="32"/>
      <c r="C32" s="30">
        <v>15323212</v>
      </c>
      <c r="D32" s="30"/>
      <c r="E32" s="30">
        <v>1479503</v>
      </c>
      <c r="F32" s="30"/>
      <c r="G32" s="30">
        <v>694796</v>
      </c>
      <c r="H32" s="30"/>
      <c r="I32" s="30">
        <v>0</v>
      </c>
      <c r="J32" s="30"/>
      <c r="K32" s="30">
        <v>1005976</v>
      </c>
      <c r="L32" s="30"/>
      <c r="M32" s="30">
        <v>3251457</v>
      </c>
      <c r="N32" s="30"/>
      <c r="O32" s="30">
        <f>6458</f>
        <v>6458</v>
      </c>
      <c r="P32" s="30"/>
      <c r="Q32" s="30">
        <f t="shared" si="1"/>
        <v>21761402</v>
      </c>
      <c r="R32" s="37"/>
      <c r="S32" s="30">
        <v>3280737</v>
      </c>
      <c r="U32" s="96">
        <f>+Q32-'St of Net Assets - GA'!M32-'LT _Lia - GA'!S32</f>
        <v>0</v>
      </c>
    </row>
    <row r="33" spans="1:21" ht="12" customHeight="1" hidden="1">
      <c r="A33" s="32" t="s">
        <v>239</v>
      </c>
      <c r="B33" s="32"/>
      <c r="C33" s="30">
        <v>0</v>
      </c>
      <c r="D33" s="30"/>
      <c r="E33" s="30">
        <v>0</v>
      </c>
      <c r="F33" s="30"/>
      <c r="G33" s="30">
        <v>0</v>
      </c>
      <c r="H33" s="30"/>
      <c r="I33" s="30">
        <v>0</v>
      </c>
      <c r="J33" s="30"/>
      <c r="K33" s="30">
        <v>0</v>
      </c>
      <c r="L33" s="30"/>
      <c r="M33" s="30">
        <v>0</v>
      </c>
      <c r="N33" s="30"/>
      <c r="O33" s="30">
        <v>0</v>
      </c>
      <c r="P33" s="30"/>
      <c r="Q33" s="30">
        <f t="shared" si="1"/>
        <v>0</v>
      </c>
      <c r="R33" s="37"/>
      <c r="S33" s="30">
        <v>0</v>
      </c>
      <c r="U33" s="96">
        <f>+Q33-'St of Net Assets - GA'!M33-'LT _Lia - GA'!S33</f>
        <v>0</v>
      </c>
    </row>
    <row r="34" spans="1:21" ht="12" customHeight="1">
      <c r="A34" s="32" t="s">
        <v>32</v>
      </c>
      <c r="B34" s="32"/>
      <c r="C34" s="30">
        <f>336680*1000-80000</f>
        <v>336600000</v>
      </c>
      <c r="D34" s="30"/>
      <c r="E34" s="30">
        <f>39500*1000</f>
        <v>39500000</v>
      </c>
      <c r="F34" s="30"/>
      <c r="G34" s="30">
        <v>0</v>
      </c>
      <c r="H34" s="30"/>
      <c r="I34" s="30">
        <f>7230*1000</f>
        <v>7230000</v>
      </c>
      <c r="J34" s="30"/>
      <c r="K34" s="30">
        <v>0</v>
      </c>
      <c r="L34" s="30"/>
      <c r="M34" s="30">
        <v>0</v>
      </c>
      <c r="N34" s="30"/>
      <c r="O34" s="30">
        <v>0</v>
      </c>
      <c r="P34" s="30"/>
      <c r="Q34" s="30">
        <f t="shared" si="1"/>
        <v>383330000</v>
      </c>
      <c r="R34" s="37"/>
      <c r="S34" s="30">
        <f>31613*1000</f>
        <v>31613000</v>
      </c>
      <c r="U34" s="96">
        <f>+Q34-'St of Net Assets - GA'!M34-'LT _Lia - GA'!S34</f>
        <v>0</v>
      </c>
    </row>
    <row r="35" spans="1:21" ht="12" customHeight="1">
      <c r="A35" s="32" t="s">
        <v>33</v>
      </c>
      <c r="B35" s="32"/>
      <c r="C35" s="30">
        <f>193157+680000</f>
        <v>873157</v>
      </c>
      <c r="D35" s="30"/>
      <c r="E35" s="30">
        <f>147697</f>
        <v>147697</v>
      </c>
      <c r="F35" s="30"/>
      <c r="G35" s="30">
        <v>0</v>
      </c>
      <c r="H35" s="30"/>
      <c r="I35" s="30">
        <f>307644+680889</f>
        <v>988533</v>
      </c>
      <c r="J35" s="30"/>
      <c r="K35" s="30">
        <f>18731</f>
        <v>18731</v>
      </c>
      <c r="L35" s="30"/>
      <c r="M35" s="30">
        <v>913638</v>
      </c>
      <c r="N35" s="30"/>
      <c r="O35" s="30">
        <f>334612</f>
        <v>334612</v>
      </c>
      <c r="P35" s="30"/>
      <c r="Q35" s="30">
        <f t="shared" si="1"/>
        <v>3276368</v>
      </c>
      <c r="R35" s="37"/>
      <c r="S35" s="30">
        <v>918712</v>
      </c>
      <c r="U35" s="96">
        <f>+Q35-'St of Net Assets - GA'!M35-'LT _Lia - GA'!S35</f>
        <v>0</v>
      </c>
    </row>
    <row r="36" spans="1:21" ht="12" customHeight="1">
      <c r="A36" s="32" t="s">
        <v>34</v>
      </c>
      <c r="B36" s="32"/>
      <c r="C36" s="30">
        <v>2256429</v>
      </c>
      <c r="D36" s="30"/>
      <c r="E36" s="30">
        <v>0</v>
      </c>
      <c r="F36" s="30"/>
      <c r="G36" s="30">
        <v>0</v>
      </c>
      <c r="H36" s="30"/>
      <c r="I36" s="30">
        <v>0</v>
      </c>
      <c r="J36" s="30"/>
      <c r="K36" s="30">
        <v>1865</v>
      </c>
      <c r="L36" s="30"/>
      <c r="M36" s="30">
        <v>1487134</v>
      </c>
      <c r="N36" s="30"/>
      <c r="O36" s="30">
        <v>0</v>
      </c>
      <c r="P36" s="30"/>
      <c r="Q36" s="30">
        <f t="shared" si="1"/>
        <v>3745428</v>
      </c>
      <c r="R36" s="37"/>
      <c r="S36" s="30">
        <v>772982</v>
      </c>
      <c r="U36" s="96">
        <f>+Q36-'St of Net Assets - GA'!M36-'LT _Lia - GA'!S36</f>
        <v>0</v>
      </c>
    </row>
    <row r="37" spans="1:21" ht="12" customHeight="1">
      <c r="A37" s="32" t="s">
        <v>35</v>
      </c>
      <c r="B37" s="32"/>
      <c r="C37" s="30">
        <v>585000</v>
      </c>
      <c r="D37" s="30"/>
      <c r="E37" s="30">
        <v>1974714</v>
      </c>
      <c r="F37" s="30"/>
      <c r="G37" s="30">
        <v>0</v>
      </c>
      <c r="H37" s="30"/>
      <c r="I37" s="30">
        <v>0</v>
      </c>
      <c r="J37" s="30"/>
      <c r="K37" s="30">
        <v>17619</v>
      </c>
      <c r="L37" s="30"/>
      <c r="M37" s="30">
        <v>3027692</v>
      </c>
      <c r="N37" s="30"/>
      <c r="O37" s="30">
        <v>0</v>
      </c>
      <c r="P37" s="30"/>
      <c r="Q37" s="30">
        <f t="shared" si="1"/>
        <v>5605025</v>
      </c>
      <c r="R37" s="37"/>
      <c r="S37" s="30">
        <v>801525</v>
      </c>
      <c r="U37" s="96">
        <f>+Q37-'St of Net Assets - GA'!M37-'LT _Lia - GA'!S37</f>
        <v>0</v>
      </c>
    </row>
    <row r="38" spans="1:21" ht="12" customHeight="1">
      <c r="A38" s="32" t="s">
        <v>182</v>
      </c>
      <c r="B38" s="32"/>
      <c r="C38" s="30">
        <f>19154344</f>
        <v>19154344</v>
      </c>
      <c r="D38" s="30"/>
      <c r="E38" s="30">
        <v>40000</v>
      </c>
      <c r="F38" s="30"/>
      <c r="G38" s="30">
        <v>0</v>
      </c>
      <c r="H38" s="30"/>
      <c r="I38" s="30">
        <v>0</v>
      </c>
      <c r="J38" s="30"/>
      <c r="K38" s="30">
        <v>0</v>
      </c>
      <c r="L38" s="30"/>
      <c r="M38" s="30">
        <v>5992639</v>
      </c>
      <c r="N38" s="30"/>
      <c r="O38" s="30">
        <v>0</v>
      </c>
      <c r="P38" s="30"/>
      <c r="Q38" s="30">
        <f t="shared" si="1"/>
        <v>25186983</v>
      </c>
      <c r="R38" s="37"/>
      <c r="S38" s="30">
        <v>1113152</v>
      </c>
      <c r="U38" s="96">
        <f>+Q38-'St of Net Assets - GA'!M38-'LT _Lia - GA'!S38</f>
        <v>-1</v>
      </c>
    </row>
    <row r="39" spans="1:21" ht="12" customHeight="1" hidden="1">
      <c r="A39" s="32" t="s">
        <v>244</v>
      </c>
      <c r="B39" s="32"/>
      <c r="C39" s="24">
        <v>0</v>
      </c>
      <c r="D39" s="30"/>
      <c r="E39" s="24">
        <v>0</v>
      </c>
      <c r="F39" s="30"/>
      <c r="G39" s="24">
        <v>0</v>
      </c>
      <c r="H39" s="30"/>
      <c r="I39" s="24">
        <v>0</v>
      </c>
      <c r="J39" s="30"/>
      <c r="K39" s="24">
        <v>0</v>
      </c>
      <c r="L39" s="30"/>
      <c r="M39" s="24">
        <v>0</v>
      </c>
      <c r="N39" s="30"/>
      <c r="O39" s="24">
        <v>0</v>
      </c>
      <c r="P39" s="30"/>
      <c r="Q39" s="30">
        <f t="shared" si="1"/>
        <v>0</v>
      </c>
      <c r="R39" s="37"/>
      <c r="S39" s="24">
        <v>0</v>
      </c>
      <c r="U39" s="96">
        <f>+Q39-'St of Net Assets - GA'!M39-'LT _Lia - GA'!S39</f>
        <v>0</v>
      </c>
    </row>
    <row r="40" spans="1:21" ht="12" customHeight="1" hidden="1">
      <c r="A40" s="32" t="s">
        <v>37</v>
      </c>
      <c r="B40" s="32"/>
      <c r="C40" s="24">
        <v>0</v>
      </c>
      <c r="D40" s="30"/>
      <c r="E40" s="24">
        <v>0</v>
      </c>
      <c r="F40" s="30"/>
      <c r="G40" s="24">
        <v>0</v>
      </c>
      <c r="H40" s="30"/>
      <c r="I40" s="24">
        <v>0</v>
      </c>
      <c r="J40" s="30"/>
      <c r="K40" s="24">
        <v>0</v>
      </c>
      <c r="L40" s="30"/>
      <c r="M40" s="24">
        <v>0</v>
      </c>
      <c r="N40" s="30"/>
      <c r="O40" s="24">
        <v>0</v>
      </c>
      <c r="P40" s="30"/>
      <c r="Q40" s="30">
        <f t="shared" si="1"/>
        <v>0</v>
      </c>
      <c r="R40" s="37"/>
      <c r="S40" s="24">
        <v>0</v>
      </c>
      <c r="U40" s="96">
        <f>+Q40-'St of Net Assets - GA'!M40-'LT _Lia - GA'!S40</f>
        <v>0</v>
      </c>
    </row>
    <row r="41" spans="1:21" ht="12" customHeight="1">
      <c r="A41" s="32" t="s">
        <v>38</v>
      </c>
      <c r="B41" s="32"/>
      <c r="C41" s="24">
        <v>8676756</v>
      </c>
      <c r="D41" s="30"/>
      <c r="E41" s="24">
        <v>2023186</v>
      </c>
      <c r="F41" s="30"/>
      <c r="G41" s="24">
        <v>0</v>
      </c>
      <c r="H41" s="30"/>
      <c r="I41" s="146">
        <f>269867+8437</f>
        <v>278304</v>
      </c>
      <c r="J41" s="30"/>
      <c r="K41" s="24">
        <v>0</v>
      </c>
      <c r="L41" s="30"/>
      <c r="M41" s="24">
        <v>2918885</v>
      </c>
      <c r="N41" s="30"/>
      <c r="O41" s="24">
        <f>96508+1705993</f>
        <v>1802501</v>
      </c>
      <c r="P41" s="30"/>
      <c r="Q41" s="30">
        <f t="shared" si="1"/>
        <v>15699632</v>
      </c>
      <c r="R41" s="37"/>
      <c r="S41" s="24">
        <v>2434956</v>
      </c>
      <c r="U41" s="96">
        <f>+Q41-'St of Net Assets - GA'!M41-'LT _Lia - GA'!S41</f>
        <v>0</v>
      </c>
    </row>
    <row r="42" spans="1:21" ht="12" customHeight="1" hidden="1">
      <c r="A42" s="32" t="s">
        <v>168</v>
      </c>
      <c r="B42" s="32"/>
      <c r="C42" s="24">
        <v>0</v>
      </c>
      <c r="D42" s="30"/>
      <c r="E42" s="24">
        <v>0</v>
      </c>
      <c r="F42" s="30"/>
      <c r="G42" s="24">
        <v>0</v>
      </c>
      <c r="H42" s="30"/>
      <c r="I42" s="24">
        <v>0</v>
      </c>
      <c r="J42" s="30"/>
      <c r="K42" s="24">
        <v>0</v>
      </c>
      <c r="L42" s="30"/>
      <c r="M42" s="24">
        <v>0</v>
      </c>
      <c r="N42" s="30"/>
      <c r="O42" s="24">
        <v>0</v>
      </c>
      <c r="P42" s="30"/>
      <c r="Q42" s="30">
        <f t="shared" si="1"/>
        <v>0</v>
      </c>
      <c r="R42" s="37"/>
      <c r="S42" s="24">
        <v>0</v>
      </c>
      <c r="U42" s="96">
        <f>+Q42-'St of Net Assets - GA'!M42-'LT _Lia - GA'!S42</f>
        <v>0</v>
      </c>
    </row>
    <row r="43" spans="1:21" ht="12" customHeight="1" hidden="1">
      <c r="A43" s="32" t="s">
        <v>39</v>
      </c>
      <c r="B43" s="32"/>
      <c r="C43" s="24">
        <v>0</v>
      </c>
      <c r="D43" s="30"/>
      <c r="E43" s="24">
        <v>0</v>
      </c>
      <c r="F43" s="30"/>
      <c r="G43" s="24">
        <v>0</v>
      </c>
      <c r="H43" s="30"/>
      <c r="I43" s="24">
        <v>0</v>
      </c>
      <c r="J43" s="30"/>
      <c r="K43" s="24">
        <v>0</v>
      </c>
      <c r="L43" s="30"/>
      <c r="M43" s="24">
        <v>0</v>
      </c>
      <c r="N43" s="30"/>
      <c r="O43" s="24">
        <v>0</v>
      </c>
      <c r="P43" s="30"/>
      <c r="Q43" s="30">
        <f t="shared" si="1"/>
        <v>0</v>
      </c>
      <c r="R43" s="37"/>
      <c r="S43" s="24">
        <v>0</v>
      </c>
      <c r="U43" s="96">
        <f>+Q43-'St of Net Assets - GA'!M43-'LT _Lia - GA'!S43</f>
        <v>0</v>
      </c>
    </row>
    <row r="44" spans="1:21" ht="12" customHeight="1">
      <c r="A44" s="32" t="s">
        <v>40</v>
      </c>
      <c r="B44" s="32"/>
      <c r="C44" s="24">
        <v>20000</v>
      </c>
      <c r="D44" s="30"/>
      <c r="E44" s="24">
        <v>112543</v>
      </c>
      <c r="F44" s="30"/>
      <c r="G44" s="24">
        <v>0</v>
      </c>
      <c r="H44" s="30"/>
      <c r="I44" s="24">
        <f>175579+51519</f>
        <v>227098</v>
      </c>
      <c r="J44" s="30"/>
      <c r="K44" s="24">
        <v>0</v>
      </c>
      <c r="L44" s="30"/>
      <c r="M44" s="24">
        <v>1821904</v>
      </c>
      <c r="N44" s="30"/>
      <c r="O44" s="24">
        <v>0</v>
      </c>
      <c r="P44" s="30"/>
      <c r="Q44" s="30">
        <f t="shared" si="1"/>
        <v>2181545</v>
      </c>
      <c r="R44" s="37"/>
      <c r="S44" s="24">
        <v>878224</v>
      </c>
      <c r="U44" s="96">
        <f>+Q44-'St of Net Assets - GA'!M44-'LT _Lia - GA'!S44</f>
        <v>0</v>
      </c>
    </row>
    <row r="45" spans="1:21" ht="12" customHeight="1" hidden="1">
      <c r="A45" s="32" t="s">
        <v>41</v>
      </c>
      <c r="B45" s="32"/>
      <c r="C45" s="24">
        <v>0</v>
      </c>
      <c r="D45" s="30"/>
      <c r="E45" s="24">
        <v>0</v>
      </c>
      <c r="F45" s="30"/>
      <c r="G45" s="24">
        <v>0</v>
      </c>
      <c r="H45" s="30"/>
      <c r="I45" s="24">
        <v>0</v>
      </c>
      <c r="J45" s="30"/>
      <c r="K45" s="24">
        <v>0</v>
      </c>
      <c r="L45" s="30"/>
      <c r="M45" s="24">
        <v>0</v>
      </c>
      <c r="N45" s="30"/>
      <c r="O45" s="24">
        <v>0</v>
      </c>
      <c r="P45" s="30"/>
      <c r="Q45" s="30">
        <f t="shared" si="1"/>
        <v>0</v>
      </c>
      <c r="R45" s="37"/>
      <c r="S45" s="24">
        <v>0</v>
      </c>
      <c r="U45" s="96">
        <f>+Q45-'St of Net Assets - GA'!M45-'LT _Lia - GA'!S45</f>
        <v>0</v>
      </c>
    </row>
    <row r="46" spans="1:21" ht="12" customHeight="1">
      <c r="A46" s="32" t="s">
        <v>42</v>
      </c>
      <c r="B46" s="32"/>
      <c r="C46" s="24">
        <v>240000</v>
      </c>
      <c r="D46" s="145"/>
      <c r="E46" s="24">
        <v>35300</v>
      </c>
      <c r="F46" s="145"/>
      <c r="G46" s="24">
        <v>590630</v>
      </c>
      <c r="H46" s="145"/>
      <c r="I46" s="24">
        <v>0</v>
      </c>
      <c r="J46" s="145"/>
      <c r="K46" s="24">
        <v>0</v>
      </c>
      <c r="L46" s="145"/>
      <c r="M46" s="24">
        <v>770260</v>
      </c>
      <c r="N46" s="145"/>
      <c r="O46" s="24">
        <v>0</v>
      </c>
      <c r="P46" s="145"/>
      <c r="Q46" s="145">
        <f t="shared" si="1"/>
        <v>1636190</v>
      </c>
      <c r="R46" s="162"/>
      <c r="S46" s="24">
        <v>291871</v>
      </c>
      <c r="T46" s="34"/>
      <c r="U46" s="96">
        <f>+Q46-'St of Net Assets - GA'!M46-'LT _Lia - GA'!S46</f>
        <v>0</v>
      </c>
    </row>
    <row r="47" spans="1:21" ht="12" customHeight="1">
      <c r="A47" s="32" t="s">
        <v>43</v>
      </c>
      <c r="B47" s="32"/>
      <c r="C47" s="24">
        <v>3105000</v>
      </c>
      <c r="D47" s="145"/>
      <c r="E47" s="24">
        <v>0</v>
      </c>
      <c r="F47" s="145"/>
      <c r="G47" s="24">
        <v>0</v>
      </c>
      <c r="H47" s="145"/>
      <c r="I47" s="24">
        <v>0</v>
      </c>
      <c r="J47" s="145"/>
      <c r="K47" s="24">
        <v>7160</v>
      </c>
      <c r="L47" s="145"/>
      <c r="M47" s="24">
        <v>1075838</v>
      </c>
      <c r="N47" s="145"/>
      <c r="O47" s="24">
        <v>0</v>
      </c>
      <c r="P47" s="145"/>
      <c r="Q47" s="145">
        <f t="shared" si="1"/>
        <v>4187998</v>
      </c>
      <c r="R47" s="162"/>
      <c r="S47" s="24">
        <v>1067230</v>
      </c>
      <c r="T47" s="34"/>
      <c r="U47" s="96">
        <f>+Q47-'St of Net Assets - GA'!M47-'LT _Lia - GA'!S47</f>
        <v>0</v>
      </c>
    </row>
    <row r="48" spans="1:21" ht="12" customHeight="1" hidden="1">
      <c r="A48" s="32" t="s">
        <v>44</v>
      </c>
      <c r="B48" s="32"/>
      <c r="C48" s="24">
        <v>0</v>
      </c>
      <c r="D48" s="145"/>
      <c r="E48" s="24">
        <v>0</v>
      </c>
      <c r="F48" s="145"/>
      <c r="G48" s="24">
        <v>0</v>
      </c>
      <c r="H48" s="145"/>
      <c r="I48" s="24">
        <v>0</v>
      </c>
      <c r="J48" s="145"/>
      <c r="K48" s="24">
        <v>0</v>
      </c>
      <c r="L48" s="145"/>
      <c r="M48" s="24">
        <v>0</v>
      </c>
      <c r="N48" s="145"/>
      <c r="O48" s="24">
        <v>0</v>
      </c>
      <c r="P48" s="145"/>
      <c r="Q48" s="145">
        <f t="shared" si="1"/>
        <v>0</v>
      </c>
      <c r="R48" s="162"/>
      <c r="S48" s="24">
        <v>0</v>
      </c>
      <c r="T48" s="34"/>
      <c r="U48" s="96">
        <f>+Q48-'St of Net Assets - GA'!M48-'LT _Lia - GA'!S48</f>
        <v>0</v>
      </c>
    </row>
    <row r="49" spans="1:21" ht="12" customHeight="1" hidden="1">
      <c r="A49" s="32" t="s">
        <v>241</v>
      </c>
      <c r="B49" s="32"/>
      <c r="C49" s="24">
        <v>0</v>
      </c>
      <c r="D49" s="145"/>
      <c r="E49" s="24">
        <v>0</v>
      </c>
      <c r="F49" s="145"/>
      <c r="G49" s="24">
        <v>0</v>
      </c>
      <c r="H49" s="145"/>
      <c r="I49" s="24">
        <v>0</v>
      </c>
      <c r="J49" s="145"/>
      <c r="K49" s="24">
        <v>0</v>
      </c>
      <c r="L49" s="145"/>
      <c r="M49" s="24">
        <v>0</v>
      </c>
      <c r="N49" s="145"/>
      <c r="O49" s="24">
        <v>0</v>
      </c>
      <c r="P49" s="145"/>
      <c r="Q49" s="145">
        <f t="shared" si="1"/>
        <v>0</v>
      </c>
      <c r="R49" s="162"/>
      <c r="S49" s="24">
        <v>0</v>
      </c>
      <c r="T49" s="34"/>
      <c r="U49" s="96">
        <f>+Q49-'St of Net Assets - GA'!M49-'LT _Lia - GA'!S49</f>
        <v>0</v>
      </c>
    </row>
    <row r="50" spans="1:21" ht="12" customHeight="1">
      <c r="A50" s="32" t="s">
        <v>46</v>
      </c>
      <c r="B50" s="32"/>
      <c r="C50" s="24">
        <v>19391941</v>
      </c>
      <c r="D50" s="145"/>
      <c r="E50" s="24">
        <v>0</v>
      </c>
      <c r="F50" s="145"/>
      <c r="G50" s="24">
        <v>2765288</v>
      </c>
      <c r="H50" s="145"/>
      <c r="I50" s="24">
        <v>95957</v>
      </c>
      <c r="J50" s="145"/>
      <c r="K50" s="24">
        <v>120043</v>
      </c>
      <c r="L50" s="145"/>
      <c r="M50" s="24">
        <v>2682004</v>
      </c>
      <c r="N50" s="145"/>
      <c r="O50" s="24">
        <f>631644</f>
        <v>631644</v>
      </c>
      <c r="P50" s="145"/>
      <c r="Q50" s="145">
        <f t="shared" si="1"/>
        <v>25686877</v>
      </c>
      <c r="R50" s="162"/>
      <c r="S50" s="24">
        <v>3039106</v>
      </c>
      <c r="T50" s="34"/>
      <c r="U50" s="96">
        <f>+Q50-'St of Net Assets - GA'!M50-'LT _Lia - GA'!S50</f>
        <v>0</v>
      </c>
    </row>
    <row r="51" spans="1:21" ht="12" customHeight="1">
      <c r="A51" s="32" t="s">
        <v>47</v>
      </c>
      <c r="B51" s="32"/>
      <c r="C51" s="24">
        <v>8116354</v>
      </c>
      <c r="D51" s="145"/>
      <c r="E51" s="24">
        <v>0</v>
      </c>
      <c r="F51" s="145"/>
      <c r="G51" s="24">
        <v>0</v>
      </c>
      <c r="H51" s="145"/>
      <c r="I51" s="24">
        <f>239688+714014+571502</f>
        <v>1525204</v>
      </c>
      <c r="J51" s="145"/>
      <c r="K51" s="24">
        <v>98362</v>
      </c>
      <c r="L51" s="145"/>
      <c r="M51" s="24">
        <v>1122515</v>
      </c>
      <c r="N51" s="145"/>
      <c r="O51" s="24">
        <v>0</v>
      </c>
      <c r="P51" s="145"/>
      <c r="Q51" s="145">
        <f t="shared" si="1"/>
        <v>10862435</v>
      </c>
      <c r="R51" s="162"/>
      <c r="S51" s="24">
        <v>1689093</v>
      </c>
      <c r="T51" s="34"/>
      <c r="U51" s="96">
        <f>+Q51-'St of Net Assets - GA'!M51-'LT _Lia - GA'!S51</f>
        <v>0</v>
      </c>
    </row>
    <row r="52" spans="1:21" ht="12" customHeight="1">
      <c r="A52" s="32" t="s">
        <v>48</v>
      </c>
      <c r="B52" s="32"/>
      <c r="C52" s="24">
        <f>16425000+548585</f>
        <v>16973585</v>
      </c>
      <c r="D52" s="145"/>
      <c r="E52" s="24">
        <v>8243700</v>
      </c>
      <c r="F52" s="145"/>
      <c r="G52" s="24">
        <v>0</v>
      </c>
      <c r="H52" s="145"/>
      <c r="I52" s="24">
        <v>0</v>
      </c>
      <c r="J52" s="145"/>
      <c r="K52" s="24">
        <v>17389</v>
      </c>
      <c r="L52" s="145"/>
      <c r="M52" s="24">
        <v>12445614</v>
      </c>
      <c r="N52" s="145"/>
      <c r="O52" s="24">
        <f>896542-518026</f>
        <v>378516</v>
      </c>
      <c r="P52" s="145"/>
      <c r="Q52" s="145">
        <f>SUM(C52:O52)</f>
        <v>38058804</v>
      </c>
      <c r="R52" s="162"/>
      <c r="S52" s="24">
        <v>3059044</v>
      </c>
      <c r="T52" s="34"/>
      <c r="U52" s="96">
        <f>+Q52-'St of Net Assets - GA'!M52-'LT _Lia - GA'!S52</f>
        <v>0</v>
      </c>
    </row>
    <row r="53" spans="1:21" ht="12" customHeight="1" hidden="1">
      <c r="A53" s="32" t="s">
        <v>170</v>
      </c>
      <c r="B53" s="32"/>
      <c r="C53" s="24">
        <v>0</v>
      </c>
      <c r="D53" s="145"/>
      <c r="E53" s="24">
        <v>0</v>
      </c>
      <c r="F53" s="145"/>
      <c r="G53" s="24">
        <v>0</v>
      </c>
      <c r="H53" s="145"/>
      <c r="I53" s="24">
        <v>0</v>
      </c>
      <c r="J53" s="145"/>
      <c r="K53" s="24">
        <v>0</v>
      </c>
      <c r="L53" s="145"/>
      <c r="M53" s="24">
        <v>0</v>
      </c>
      <c r="N53" s="145"/>
      <c r="O53" s="24">
        <v>0</v>
      </c>
      <c r="P53" s="145"/>
      <c r="Q53" s="145">
        <f t="shared" si="1"/>
        <v>0</v>
      </c>
      <c r="R53" s="162"/>
      <c r="S53" s="24">
        <v>0</v>
      </c>
      <c r="T53" s="34"/>
      <c r="U53" s="96">
        <f>+Q53-'St of Net Assets - GA'!M53-'LT _Lia - GA'!S53</f>
        <v>0</v>
      </c>
    </row>
    <row r="54" spans="1:21" ht="12" customHeight="1">
      <c r="A54" s="32" t="s">
        <v>49</v>
      </c>
      <c r="B54" s="32"/>
      <c r="C54" s="24">
        <v>7630000</v>
      </c>
      <c r="D54" s="145"/>
      <c r="E54" s="24">
        <v>389535</v>
      </c>
      <c r="F54" s="145"/>
      <c r="G54" s="24">
        <v>0</v>
      </c>
      <c r="H54" s="145"/>
      <c r="I54" s="24">
        <v>0</v>
      </c>
      <c r="J54" s="145"/>
      <c r="K54" s="24">
        <v>47908</v>
      </c>
      <c r="L54" s="145"/>
      <c r="M54" s="24">
        <v>3825445</v>
      </c>
      <c r="N54" s="145"/>
      <c r="O54" s="24">
        <v>0</v>
      </c>
      <c r="P54" s="145"/>
      <c r="Q54" s="145">
        <f t="shared" si="1"/>
        <v>11892888</v>
      </c>
      <c r="R54" s="162"/>
      <c r="S54" s="24">
        <v>2676645</v>
      </c>
      <c r="T54" s="34"/>
      <c r="U54" s="96">
        <f>+Q54-'St of Net Assets - GA'!M54-'LT _Lia - GA'!S54</f>
        <v>0</v>
      </c>
    </row>
    <row r="55" spans="1:21" ht="12" customHeight="1">
      <c r="A55" s="32" t="s">
        <v>50</v>
      </c>
      <c r="B55" s="32"/>
      <c r="C55" s="24">
        <v>5273375</v>
      </c>
      <c r="D55" s="145"/>
      <c r="E55" s="24">
        <v>0</v>
      </c>
      <c r="F55" s="145"/>
      <c r="G55" s="24">
        <v>0</v>
      </c>
      <c r="H55" s="145"/>
      <c r="I55" s="24">
        <v>0</v>
      </c>
      <c r="J55" s="145"/>
      <c r="K55" s="24">
        <v>0</v>
      </c>
      <c r="L55" s="145"/>
      <c r="M55" s="24">
        <v>1347214</v>
      </c>
      <c r="N55" s="145"/>
      <c r="O55" s="24">
        <v>0</v>
      </c>
      <c r="P55" s="145"/>
      <c r="Q55" s="145">
        <f t="shared" si="1"/>
        <v>6620589</v>
      </c>
      <c r="R55" s="162"/>
      <c r="S55" s="24">
        <v>1376065</v>
      </c>
      <c r="T55" s="34"/>
      <c r="U55" s="96">
        <f>+Q55-'St of Net Assets - GA'!M55-'LT _Lia - GA'!S55</f>
        <v>0</v>
      </c>
    </row>
    <row r="56" spans="1:21" ht="12" customHeight="1">
      <c r="A56" s="32" t="s">
        <v>246</v>
      </c>
      <c r="B56" s="32"/>
      <c r="C56" s="24">
        <v>30005000</v>
      </c>
      <c r="D56" s="145"/>
      <c r="E56" s="24">
        <v>3330000</v>
      </c>
      <c r="F56" s="145"/>
      <c r="G56" s="24">
        <v>7875000</v>
      </c>
      <c r="H56" s="145"/>
      <c r="I56" s="24">
        <v>359158</v>
      </c>
      <c r="J56" s="145"/>
      <c r="K56" s="24">
        <v>0</v>
      </c>
      <c r="L56" s="145"/>
      <c r="M56" s="24">
        <v>0</v>
      </c>
      <c r="N56" s="145"/>
      <c r="O56" s="24">
        <v>4405321</v>
      </c>
      <c r="P56" s="145"/>
      <c r="Q56" s="145">
        <f t="shared" si="1"/>
        <v>45974479</v>
      </c>
      <c r="R56" s="162"/>
      <c r="S56" s="24">
        <v>7399003</v>
      </c>
      <c r="T56" s="34"/>
      <c r="U56" s="96">
        <f>+Q56-'St of Net Assets - GA'!M56-'LT _Lia - GA'!S56</f>
        <v>0</v>
      </c>
    </row>
    <row r="57" spans="1:21" ht="12" customHeight="1">
      <c r="A57" s="32" t="s">
        <v>183</v>
      </c>
      <c r="B57" s="32"/>
      <c r="C57" s="24">
        <f>87500000+10045000+703300+453484-32831</f>
        <v>98668953</v>
      </c>
      <c r="D57" s="145"/>
      <c r="E57" s="24">
        <v>16116500</v>
      </c>
      <c r="F57" s="145"/>
      <c r="G57" s="24">
        <v>0</v>
      </c>
      <c r="H57" s="145"/>
      <c r="I57" s="24">
        <v>1194267</v>
      </c>
      <c r="J57" s="145"/>
      <c r="K57" s="24">
        <v>105678</v>
      </c>
      <c r="L57" s="145"/>
      <c r="M57" s="24">
        <v>20178477</v>
      </c>
      <c r="N57" s="145"/>
      <c r="O57" s="24">
        <f>7000000+10207619</f>
        <v>17207619</v>
      </c>
      <c r="P57" s="145"/>
      <c r="Q57" s="145">
        <f t="shared" si="1"/>
        <v>153471494</v>
      </c>
      <c r="R57" s="162"/>
      <c r="S57" s="24">
        <v>25238362</v>
      </c>
      <c r="T57" s="34"/>
      <c r="U57" s="96">
        <f>+Q57-'St of Net Assets - GA'!M57-'LT _Lia - GA'!S57</f>
        <v>0</v>
      </c>
    </row>
    <row r="58" spans="1:21" ht="12" customHeight="1" hidden="1">
      <c r="A58" s="32" t="s">
        <v>52</v>
      </c>
      <c r="B58" s="32"/>
      <c r="C58" s="24">
        <v>0</v>
      </c>
      <c r="D58" s="145"/>
      <c r="E58" s="24">
        <v>0</v>
      </c>
      <c r="F58" s="145"/>
      <c r="G58" s="24">
        <v>0</v>
      </c>
      <c r="H58" s="145"/>
      <c r="I58" s="24">
        <v>0</v>
      </c>
      <c r="J58" s="145"/>
      <c r="K58" s="24">
        <v>0</v>
      </c>
      <c r="L58" s="145"/>
      <c r="M58" s="24">
        <v>0</v>
      </c>
      <c r="N58" s="145"/>
      <c r="O58" s="24">
        <v>0</v>
      </c>
      <c r="P58" s="145"/>
      <c r="Q58" s="145">
        <f t="shared" si="1"/>
        <v>0</v>
      </c>
      <c r="R58" s="162"/>
      <c r="S58" s="24">
        <v>0</v>
      </c>
      <c r="T58" s="34"/>
      <c r="U58" s="96">
        <f>+Q58-'St of Net Assets - GA'!M58-'LT _Lia - GA'!S58</f>
        <v>0</v>
      </c>
    </row>
    <row r="59" spans="1:21" ht="12" customHeight="1">
      <c r="A59" s="32" t="s">
        <v>53</v>
      </c>
      <c r="B59" s="32"/>
      <c r="C59" s="24">
        <v>42770923</v>
      </c>
      <c r="D59" s="145"/>
      <c r="E59" s="24">
        <v>0</v>
      </c>
      <c r="F59" s="145"/>
      <c r="G59" s="24">
        <f>314110+299313</f>
        <v>613423</v>
      </c>
      <c r="H59" s="145"/>
      <c r="I59" s="24">
        <v>388049</v>
      </c>
      <c r="J59" s="145"/>
      <c r="K59" s="24">
        <v>0</v>
      </c>
      <c r="L59" s="145"/>
      <c r="M59" s="24">
        <v>8786638</v>
      </c>
      <c r="N59" s="145"/>
      <c r="O59" s="24">
        <f>1448280</f>
        <v>1448280</v>
      </c>
      <c r="P59" s="145"/>
      <c r="Q59" s="145">
        <f t="shared" si="1"/>
        <v>54007313</v>
      </c>
      <c r="R59" s="162"/>
      <c r="S59" s="24">
        <v>6917860</v>
      </c>
      <c r="T59" s="34"/>
      <c r="U59" s="96">
        <f>+Q59-'St of Net Assets - GA'!M59-'LT _Lia - GA'!S59</f>
        <v>0</v>
      </c>
    </row>
    <row r="60" spans="1:21" ht="12" customHeight="1">
      <c r="A60" s="32" t="s">
        <v>54</v>
      </c>
      <c r="B60" s="32"/>
      <c r="C60" s="24">
        <f>2290000+8020000+37339-372283+1300000</f>
        <v>11275056</v>
      </c>
      <c r="D60" s="145"/>
      <c r="E60" s="24">
        <v>0</v>
      </c>
      <c r="F60" s="145"/>
      <c r="G60" s="24">
        <v>0</v>
      </c>
      <c r="H60" s="145"/>
      <c r="I60" s="24">
        <v>0</v>
      </c>
      <c r="J60" s="145"/>
      <c r="K60" s="24">
        <v>0</v>
      </c>
      <c r="L60" s="145"/>
      <c r="M60" s="24">
        <v>1596829</v>
      </c>
      <c r="N60" s="145"/>
      <c r="O60" s="24">
        <v>0</v>
      </c>
      <c r="P60" s="145"/>
      <c r="Q60" s="145">
        <f t="shared" si="1"/>
        <v>12871885</v>
      </c>
      <c r="R60" s="162"/>
      <c r="S60" s="24">
        <v>1035465</v>
      </c>
      <c r="T60" s="34"/>
      <c r="U60" s="96">
        <f>+Q60-'St of Net Assets - GA'!M60-'LT _Lia - GA'!S60</f>
        <v>0</v>
      </c>
    </row>
    <row r="61" spans="1:21" ht="12" customHeight="1">
      <c r="A61" s="32" t="s">
        <v>55</v>
      </c>
      <c r="B61" s="32"/>
      <c r="C61" s="24">
        <v>4839235</v>
      </c>
      <c r="D61" s="145"/>
      <c r="E61" s="24">
        <v>1055076</v>
      </c>
      <c r="F61" s="145"/>
      <c r="G61" s="24">
        <v>0</v>
      </c>
      <c r="H61" s="145"/>
      <c r="I61" s="24">
        <f>84062+55257+706314</f>
        <v>845633</v>
      </c>
      <c r="J61" s="145"/>
      <c r="K61" s="24">
        <v>0</v>
      </c>
      <c r="L61" s="145"/>
      <c r="M61" s="24">
        <v>5600319</v>
      </c>
      <c r="N61" s="145"/>
      <c r="O61" s="24">
        <v>0</v>
      </c>
      <c r="P61" s="145"/>
      <c r="Q61" s="145">
        <f t="shared" si="1"/>
        <v>12340263</v>
      </c>
      <c r="R61" s="162"/>
      <c r="S61" s="24">
        <v>1218566</v>
      </c>
      <c r="T61" s="34"/>
      <c r="U61" s="96">
        <f>+Q61-'St of Net Assets - GA'!M61-'LT _Lia - GA'!S61</f>
        <v>0</v>
      </c>
    </row>
    <row r="62" spans="1:21" ht="12" customHeight="1" hidden="1">
      <c r="A62" s="32" t="s">
        <v>171</v>
      </c>
      <c r="B62" s="32"/>
      <c r="C62" s="24">
        <v>0</v>
      </c>
      <c r="D62" s="145"/>
      <c r="E62" s="24">
        <v>0</v>
      </c>
      <c r="F62" s="145"/>
      <c r="G62" s="24">
        <v>0</v>
      </c>
      <c r="H62" s="145"/>
      <c r="I62" s="24">
        <v>0</v>
      </c>
      <c r="J62" s="145"/>
      <c r="K62" s="24">
        <v>0</v>
      </c>
      <c r="L62" s="145"/>
      <c r="M62" s="24">
        <v>0</v>
      </c>
      <c r="N62" s="145"/>
      <c r="O62" s="24">
        <v>0</v>
      </c>
      <c r="P62" s="145"/>
      <c r="Q62" s="145">
        <f t="shared" si="1"/>
        <v>0</v>
      </c>
      <c r="R62" s="162"/>
      <c r="S62" s="24">
        <v>0</v>
      </c>
      <c r="T62" s="34"/>
      <c r="U62" s="96">
        <f>+Q62-'St of Net Assets - GA'!M62-'LT _Lia - GA'!S62</f>
        <v>0</v>
      </c>
    </row>
    <row r="63" spans="1:21" ht="12" customHeight="1" hidden="1">
      <c r="A63" s="32" t="s">
        <v>56</v>
      </c>
      <c r="B63" s="32"/>
      <c r="C63" s="24">
        <v>0</v>
      </c>
      <c r="D63" s="145"/>
      <c r="E63" s="24">
        <v>0</v>
      </c>
      <c r="F63" s="145"/>
      <c r="G63" s="24">
        <v>0</v>
      </c>
      <c r="H63" s="145"/>
      <c r="I63" s="24">
        <v>0</v>
      </c>
      <c r="J63" s="145"/>
      <c r="K63" s="24">
        <v>0</v>
      </c>
      <c r="L63" s="145"/>
      <c r="M63" s="24">
        <v>0</v>
      </c>
      <c r="N63" s="145"/>
      <c r="O63" s="24">
        <v>0</v>
      </c>
      <c r="P63" s="145"/>
      <c r="Q63" s="145">
        <f t="shared" si="1"/>
        <v>0</v>
      </c>
      <c r="R63" s="162"/>
      <c r="S63" s="24">
        <v>0</v>
      </c>
      <c r="T63" s="34"/>
      <c r="U63" s="96">
        <f>+Q63-'St of Net Assets - GA'!M63-'LT _Lia - GA'!S63</f>
        <v>0</v>
      </c>
    </row>
    <row r="64" spans="1:21" ht="12" customHeight="1">
      <c r="A64" s="32" t="s">
        <v>57</v>
      </c>
      <c r="B64" s="32"/>
      <c r="C64" s="24">
        <v>8620000</v>
      </c>
      <c r="D64" s="145"/>
      <c r="E64" s="24">
        <v>0</v>
      </c>
      <c r="F64" s="145"/>
      <c r="G64" s="24">
        <v>0</v>
      </c>
      <c r="H64" s="145"/>
      <c r="I64" s="24">
        <v>0</v>
      </c>
      <c r="J64" s="145"/>
      <c r="K64" s="24">
        <v>37850</v>
      </c>
      <c r="L64" s="145"/>
      <c r="M64" s="24">
        <v>2918027</v>
      </c>
      <c r="N64" s="145"/>
      <c r="O64" s="24">
        <f>8264410</f>
        <v>8264410</v>
      </c>
      <c r="P64" s="145"/>
      <c r="Q64" s="145">
        <f t="shared" si="1"/>
        <v>19840287</v>
      </c>
      <c r="R64" s="162"/>
      <c r="S64" s="24">
        <v>2066784</v>
      </c>
      <c r="T64" s="34"/>
      <c r="U64" s="96">
        <f>+Q64-'St of Net Assets - GA'!M64-'LT _Lia - GA'!S64</f>
        <v>0</v>
      </c>
    </row>
    <row r="65" spans="1:21" ht="12" customHeight="1">
      <c r="A65" s="32" t="s">
        <v>58</v>
      </c>
      <c r="B65" s="32"/>
      <c r="C65" s="24">
        <v>207427</v>
      </c>
      <c r="D65" s="145"/>
      <c r="E65" s="24">
        <v>0</v>
      </c>
      <c r="F65" s="145"/>
      <c r="G65" s="24">
        <v>0</v>
      </c>
      <c r="H65" s="145"/>
      <c r="I65" s="24">
        <v>0</v>
      </c>
      <c r="J65" s="145"/>
      <c r="K65" s="24">
        <v>109941</v>
      </c>
      <c r="L65" s="145"/>
      <c r="M65" s="24">
        <v>479863</v>
      </c>
      <c r="N65" s="145"/>
      <c r="O65" s="24">
        <v>0</v>
      </c>
      <c r="P65" s="145"/>
      <c r="Q65" s="145">
        <f t="shared" si="1"/>
        <v>797231</v>
      </c>
      <c r="R65" s="162"/>
      <c r="S65" s="24">
        <v>198936</v>
      </c>
      <c r="T65" s="34"/>
      <c r="U65" s="96">
        <f>+Q65-'St of Net Assets - GA'!M65-'LT _Lia - GA'!S65</f>
        <v>0</v>
      </c>
    </row>
    <row r="66" spans="1:21" ht="12" customHeight="1">
      <c r="A66" s="32" t="s">
        <v>59</v>
      </c>
      <c r="B66" s="32"/>
      <c r="C66" s="24">
        <v>37111573</v>
      </c>
      <c r="D66" s="30"/>
      <c r="E66" s="24">
        <v>1069789</v>
      </c>
      <c r="F66" s="30"/>
      <c r="G66" s="24">
        <v>0</v>
      </c>
      <c r="H66" s="30"/>
      <c r="I66" s="24">
        <v>0</v>
      </c>
      <c r="J66" s="30"/>
      <c r="K66" s="24">
        <v>358219</v>
      </c>
      <c r="L66" s="30"/>
      <c r="M66" s="24">
        <v>21318356</v>
      </c>
      <c r="N66" s="30"/>
      <c r="O66" s="24">
        <v>12493633</v>
      </c>
      <c r="P66" s="30"/>
      <c r="Q66" s="30">
        <f>SUM(C66:O66)</f>
        <v>72351570</v>
      </c>
      <c r="R66" s="37"/>
      <c r="S66" s="24">
        <v>19565739</v>
      </c>
      <c r="U66" s="96">
        <f>+Q66-'St of Net Assets - GA'!M66-'LT _Lia - GA'!S66</f>
        <v>0</v>
      </c>
    </row>
    <row r="67" spans="1:23" ht="12" customHeight="1" hidden="1">
      <c r="A67" s="32" t="s">
        <v>60</v>
      </c>
      <c r="B67" s="32"/>
      <c r="C67" s="24">
        <v>0</v>
      </c>
      <c r="D67" s="30"/>
      <c r="E67" s="24">
        <v>0</v>
      </c>
      <c r="F67" s="30"/>
      <c r="G67" s="24">
        <v>0</v>
      </c>
      <c r="H67" s="30"/>
      <c r="I67" s="24">
        <v>0</v>
      </c>
      <c r="J67" s="30"/>
      <c r="K67" s="24">
        <v>0</v>
      </c>
      <c r="L67" s="30"/>
      <c r="M67" s="24">
        <v>0</v>
      </c>
      <c r="N67" s="30"/>
      <c r="O67" s="24">
        <v>0</v>
      </c>
      <c r="P67" s="30"/>
      <c r="Q67" s="30">
        <f t="shared" si="1"/>
        <v>0</v>
      </c>
      <c r="R67" s="37"/>
      <c r="S67" s="24">
        <v>0</v>
      </c>
      <c r="U67" s="96">
        <f>+Q67-'St of Net Assets - GA'!M67-'LT _Lia - GA'!S67</f>
        <v>0</v>
      </c>
      <c r="W67" s="96"/>
    </row>
    <row r="68" spans="1:21" ht="12" customHeight="1">
      <c r="A68" s="32" t="s">
        <v>97</v>
      </c>
      <c r="B68" s="32"/>
      <c r="C68" s="24">
        <f>5425000-27919</f>
        <v>5397081</v>
      </c>
      <c r="D68" s="30"/>
      <c r="E68" s="24">
        <v>0</v>
      </c>
      <c r="F68" s="30"/>
      <c r="G68" s="24">
        <v>0</v>
      </c>
      <c r="H68" s="30"/>
      <c r="I68" s="24">
        <f>518000+672686</f>
        <v>1190686</v>
      </c>
      <c r="J68" s="30"/>
      <c r="K68" s="24">
        <v>103378</v>
      </c>
      <c r="L68" s="30"/>
      <c r="M68" s="24">
        <v>869338</v>
      </c>
      <c r="N68" s="30"/>
      <c r="O68" s="24">
        <v>0</v>
      </c>
      <c r="P68" s="30"/>
      <c r="Q68" s="30">
        <f t="shared" si="1"/>
        <v>7560483</v>
      </c>
      <c r="R68" s="37"/>
      <c r="S68" s="24">
        <v>619357</v>
      </c>
      <c r="U68" s="96">
        <f>+Q68-'St of Net Assets - GA'!M68-'LT _Lia - GA'!S68</f>
        <v>0</v>
      </c>
    </row>
    <row r="69" spans="1:21" ht="12" customHeight="1">
      <c r="A69" s="32" t="s">
        <v>61</v>
      </c>
      <c r="B69" s="32"/>
      <c r="C69" s="24">
        <v>12276128</v>
      </c>
      <c r="D69" s="30"/>
      <c r="E69" s="24">
        <v>690515</v>
      </c>
      <c r="F69" s="30"/>
      <c r="G69" s="24">
        <v>467000</v>
      </c>
      <c r="H69" s="30"/>
      <c r="I69" s="24">
        <v>0</v>
      </c>
      <c r="J69" s="30"/>
      <c r="K69" s="24">
        <v>888747</v>
      </c>
      <c r="L69" s="30"/>
      <c r="M69" s="24">
        <v>3583851</v>
      </c>
      <c r="N69" s="30"/>
      <c r="O69" s="24">
        <f>228618+8246127+112922</f>
        <v>8587667</v>
      </c>
      <c r="P69" s="30"/>
      <c r="Q69" s="30">
        <f t="shared" si="1"/>
        <v>26493908</v>
      </c>
      <c r="R69" s="37"/>
      <c r="S69" s="24">
        <v>4193111</v>
      </c>
      <c r="U69" s="96">
        <f>+Q69-'St of Net Assets - GA'!M69-'LT _Lia - GA'!S69</f>
        <v>0</v>
      </c>
    </row>
    <row r="70" spans="1:21" s="26" customFormat="1" ht="12" customHeight="1">
      <c r="A70" s="32" t="s">
        <v>62</v>
      </c>
      <c r="B70" s="32"/>
      <c r="C70" s="24">
        <v>500000</v>
      </c>
      <c r="D70" s="30"/>
      <c r="E70" s="24">
        <v>0</v>
      </c>
      <c r="F70" s="30"/>
      <c r="G70" s="24">
        <v>0</v>
      </c>
      <c r="H70" s="30"/>
      <c r="I70" s="24">
        <v>0</v>
      </c>
      <c r="J70" s="30"/>
      <c r="K70" s="24">
        <v>5740</v>
      </c>
      <c r="L70" s="30"/>
      <c r="M70" s="24">
        <v>493044</v>
      </c>
      <c r="N70" s="30"/>
      <c r="O70" s="24">
        <v>0</v>
      </c>
      <c r="P70" s="30"/>
      <c r="Q70" s="30">
        <f t="shared" si="1"/>
        <v>998784</v>
      </c>
      <c r="R70" s="37"/>
      <c r="S70" s="24">
        <v>262943</v>
      </c>
      <c r="T70" s="38"/>
      <c r="U70" s="96">
        <f>+Q70-'St of Net Assets - GA'!M70-'LT _Lia - GA'!S70</f>
        <v>0</v>
      </c>
    </row>
    <row r="71" spans="1:21" ht="12" customHeight="1">
      <c r="A71" s="32" t="s">
        <v>63</v>
      </c>
      <c r="B71" s="32"/>
      <c r="C71" s="24">
        <v>0</v>
      </c>
      <c r="D71" s="30"/>
      <c r="E71" s="24">
        <v>0</v>
      </c>
      <c r="F71" s="30"/>
      <c r="G71" s="24">
        <v>0</v>
      </c>
      <c r="H71" s="30"/>
      <c r="I71" s="24">
        <v>0</v>
      </c>
      <c r="J71" s="30"/>
      <c r="K71" s="24">
        <v>0</v>
      </c>
      <c r="L71" s="30"/>
      <c r="M71" s="24">
        <v>0</v>
      </c>
      <c r="N71" s="30"/>
      <c r="O71" s="24">
        <v>0</v>
      </c>
      <c r="P71" s="30"/>
      <c r="Q71" s="30">
        <f t="shared" si="1"/>
        <v>0</v>
      </c>
      <c r="R71" s="37"/>
      <c r="S71" s="24">
        <v>0</v>
      </c>
      <c r="U71" s="96">
        <f>+Q71-'St of Net Assets - GA'!M71-'LT _Lia - GA'!S71</f>
        <v>0</v>
      </c>
    </row>
    <row r="72" spans="1:21" ht="12" customHeight="1" hidden="1">
      <c r="A72" s="32" t="s">
        <v>132</v>
      </c>
      <c r="B72" s="32"/>
      <c r="C72" s="24">
        <v>0</v>
      </c>
      <c r="D72" s="30"/>
      <c r="E72" s="24">
        <v>0</v>
      </c>
      <c r="F72" s="30"/>
      <c r="G72" s="24">
        <v>0</v>
      </c>
      <c r="H72" s="30"/>
      <c r="I72" s="24">
        <v>0</v>
      </c>
      <c r="J72" s="30"/>
      <c r="K72" s="24">
        <v>0</v>
      </c>
      <c r="L72" s="30"/>
      <c r="M72" s="24">
        <v>0</v>
      </c>
      <c r="N72" s="30"/>
      <c r="O72" s="24">
        <v>0</v>
      </c>
      <c r="P72" s="30"/>
      <c r="Q72" s="30">
        <f t="shared" si="1"/>
        <v>0</v>
      </c>
      <c r="R72" s="37"/>
      <c r="S72" s="24">
        <v>0</v>
      </c>
      <c r="U72" s="96">
        <f>+Q72-'St of Net Assets - GA'!M72-'LT _Lia - GA'!S72</f>
        <v>0</v>
      </c>
    </row>
    <row r="73" spans="1:21" ht="12" customHeight="1" hidden="1">
      <c r="A73" s="32" t="s">
        <v>64</v>
      </c>
      <c r="B73" s="32"/>
      <c r="C73" s="24">
        <v>0</v>
      </c>
      <c r="D73" s="30"/>
      <c r="E73" s="24">
        <v>0</v>
      </c>
      <c r="F73" s="30"/>
      <c r="G73" s="24">
        <v>0</v>
      </c>
      <c r="H73" s="30"/>
      <c r="I73" s="24">
        <v>0</v>
      </c>
      <c r="J73" s="30"/>
      <c r="K73" s="24">
        <v>0</v>
      </c>
      <c r="L73" s="30"/>
      <c r="M73" s="24">
        <v>0</v>
      </c>
      <c r="N73" s="30"/>
      <c r="O73" s="24">
        <v>0</v>
      </c>
      <c r="P73" s="30"/>
      <c r="Q73" s="30">
        <f t="shared" si="1"/>
        <v>0</v>
      </c>
      <c r="R73" s="37"/>
      <c r="S73" s="24">
        <v>0</v>
      </c>
      <c r="U73" s="96">
        <f>+Q73-'St of Net Assets - GA'!M73-'LT _Lia - GA'!S73</f>
        <v>0</v>
      </c>
    </row>
    <row r="74" spans="1:21" s="96" customFormat="1" ht="12" customHeight="1">
      <c r="A74" s="24" t="s">
        <v>65</v>
      </c>
      <c r="B74" s="24"/>
      <c r="C74" s="24">
        <v>2995615</v>
      </c>
      <c r="D74" s="30"/>
      <c r="E74" s="24">
        <f>93000+44000</f>
        <v>137000</v>
      </c>
      <c r="F74" s="30"/>
      <c r="G74" s="24">
        <f>15147+15200+116260+60075+85181+350000</f>
        <v>641863</v>
      </c>
      <c r="H74" s="30"/>
      <c r="I74" s="24">
        <f>245338</f>
        <v>245338</v>
      </c>
      <c r="J74" s="30"/>
      <c r="K74" s="24">
        <v>38820</v>
      </c>
      <c r="L74" s="30"/>
      <c r="M74" s="24">
        <v>1441148</v>
      </c>
      <c r="N74" s="30"/>
      <c r="O74" s="24">
        <v>0</v>
      </c>
      <c r="P74" s="30"/>
      <c r="Q74" s="30">
        <f t="shared" si="1"/>
        <v>5499784</v>
      </c>
      <c r="R74" s="30"/>
      <c r="S74" s="24">
        <v>1483377</v>
      </c>
      <c r="U74" s="96">
        <f>+Q74-'St of Net Assets - GA'!M74-'LT _Lia - GA'!S74</f>
        <v>0</v>
      </c>
    </row>
    <row r="75" spans="1:21" ht="12" customHeight="1">
      <c r="A75" s="32" t="s">
        <v>66</v>
      </c>
      <c r="B75" s="32"/>
      <c r="C75" s="24">
        <f>2180230+180781+65000+2122200</f>
        <v>4548211</v>
      </c>
      <c r="D75" s="30"/>
      <c r="E75" s="24">
        <v>0</v>
      </c>
      <c r="F75" s="30"/>
      <c r="G75" s="24">
        <v>0</v>
      </c>
      <c r="H75" s="30"/>
      <c r="I75" s="24">
        <f>42187+75000+25875+27350+20576+71875+24151+54000+45000+81250+105000+222456+212500+175750+225000+103800+25400+40055+130000+57000</f>
        <v>1764225</v>
      </c>
      <c r="J75" s="30"/>
      <c r="K75" s="24">
        <v>107950</v>
      </c>
      <c r="L75" s="30"/>
      <c r="M75" s="24">
        <v>832177</v>
      </c>
      <c r="N75" s="30"/>
      <c r="O75" s="24">
        <v>0</v>
      </c>
      <c r="P75" s="30"/>
      <c r="Q75" s="30">
        <f t="shared" si="1"/>
        <v>7252563</v>
      </c>
      <c r="R75" s="37"/>
      <c r="S75" s="24">
        <v>506796</v>
      </c>
      <c r="U75" s="96">
        <f>+Q75-'St of Net Assets - GA'!M75-'LT _Lia - GA'!S75</f>
        <v>0</v>
      </c>
    </row>
    <row r="76" spans="1:21" ht="12" customHeight="1">
      <c r="A76" s="32" t="s">
        <v>67</v>
      </c>
      <c r="B76" s="32"/>
      <c r="C76" s="24">
        <v>16631014</v>
      </c>
      <c r="D76" s="30"/>
      <c r="E76" s="24">
        <v>922074</v>
      </c>
      <c r="F76" s="30"/>
      <c r="G76" s="24">
        <v>0</v>
      </c>
      <c r="H76" s="30"/>
      <c r="I76" s="24">
        <v>434923</v>
      </c>
      <c r="J76" s="30"/>
      <c r="K76" s="24">
        <v>0</v>
      </c>
      <c r="L76" s="30"/>
      <c r="M76" s="24">
        <v>4283128</v>
      </c>
      <c r="N76" s="30"/>
      <c r="O76" s="24">
        <v>2041425</v>
      </c>
      <c r="P76" s="30"/>
      <c r="Q76" s="30">
        <f t="shared" si="1"/>
        <v>24312564</v>
      </c>
      <c r="R76" s="37"/>
      <c r="S76" s="24">
        <v>4365886</v>
      </c>
      <c r="U76" s="96">
        <f>+Q76-'St of Net Assets - GA'!M76-'LT _Lia - GA'!S76</f>
        <v>0</v>
      </c>
    </row>
    <row r="77" spans="1:21" ht="12" customHeight="1">
      <c r="A77" s="32" t="s">
        <v>68</v>
      </c>
      <c r="B77" s="32"/>
      <c r="C77" s="24">
        <f>936556</f>
        <v>936556</v>
      </c>
      <c r="D77" s="30"/>
      <c r="E77" s="24">
        <v>0</v>
      </c>
      <c r="F77" s="30"/>
      <c r="G77" s="24">
        <f>170147</f>
        <v>170147</v>
      </c>
      <c r="H77" s="30"/>
      <c r="I77" s="24">
        <v>0</v>
      </c>
      <c r="J77" s="30"/>
      <c r="K77" s="24">
        <v>0</v>
      </c>
      <c r="L77" s="30"/>
      <c r="M77" s="24">
        <v>737483</v>
      </c>
      <c r="N77" s="30"/>
      <c r="O77" s="24">
        <v>0</v>
      </c>
      <c r="P77" s="30"/>
      <c r="Q77" s="30">
        <f t="shared" si="1"/>
        <v>1844186</v>
      </c>
      <c r="R77" s="37"/>
      <c r="S77" s="24">
        <v>471534</v>
      </c>
      <c r="U77" s="96">
        <f>+Q77-'St of Net Assets - GA'!M77-'LT _Lia - GA'!S77</f>
        <v>0</v>
      </c>
    </row>
    <row r="78" spans="1:21" ht="12" customHeight="1">
      <c r="A78" s="32"/>
      <c r="B78" s="32"/>
      <c r="C78" s="24"/>
      <c r="D78" s="30"/>
      <c r="E78" s="24"/>
      <c r="F78" s="30"/>
      <c r="G78" s="24"/>
      <c r="H78" s="30"/>
      <c r="I78" s="24"/>
      <c r="J78" s="30"/>
      <c r="K78" s="24"/>
      <c r="L78" s="30"/>
      <c r="M78" s="24"/>
      <c r="N78" s="30"/>
      <c r="O78" s="24"/>
      <c r="P78" s="30"/>
      <c r="Q78" s="30"/>
      <c r="R78" s="37"/>
      <c r="S78" s="24"/>
      <c r="U78" s="96"/>
    </row>
    <row r="79" spans="1:21" ht="12" customHeight="1">
      <c r="A79" s="32"/>
      <c r="B79" s="32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30"/>
      <c r="O79" s="24"/>
      <c r="P79" s="30"/>
      <c r="Q79" s="30" t="s">
        <v>249</v>
      </c>
      <c r="R79" s="37"/>
      <c r="S79" s="24"/>
      <c r="U79" s="96"/>
    </row>
    <row r="80" spans="1:21" ht="12" customHeight="1" hidden="1">
      <c r="A80" s="32" t="s">
        <v>176</v>
      </c>
      <c r="B80" s="32"/>
      <c r="C80" s="24">
        <v>0</v>
      </c>
      <c r="D80" s="30"/>
      <c r="E80" s="24">
        <v>0</v>
      </c>
      <c r="F80" s="30"/>
      <c r="G80" s="24">
        <v>0</v>
      </c>
      <c r="H80" s="30"/>
      <c r="I80" s="24">
        <v>0</v>
      </c>
      <c r="J80" s="30"/>
      <c r="K80" s="24">
        <v>0</v>
      </c>
      <c r="L80" s="30"/>
      <c r="M80" s="24">
        <v>0</v>
      </c>
      <c r="N80" s="30"/>
      <c r="O80" s="24">
        <v>0</v>
      </c>
      <c r="P80" s="30"/>
      <c r="Q80" s="30">
        <f t="shared" si="1"/>
        <v>0</v>
      </c>
      <c r="R80" s="37"/>
      <c r="S80" s="24">
        <v>0</v>
      </c>
      <c r="U80" s="96">
        <f>+Q80-'St of Net Assets - GA'!M80-'LT _Lia - GA'!S80</f>
        <v>0</v>
      </c>
    </row>
    <row r="81" spans="1:21" s="118" customFormat="1" ht="12" customHeight="1">
      <c r="A81" s="44" t="s">
        <v>178</v>
      </c>
      <c r="B81" s="44"/>
      <c r="C81" s="44">
        <v>19720459</v>
      </c>
      <c r="D81" s="47"/>
      <c r="E81" s="44">
        <v>3960000</v>
      </c>
      <c r="F81" s="47"/>
      <c r="G81" s="44">
        <v>12178548</v>
      </c>
      <c r="H81" s="47"/>
      <c r="I81" s="44">
        <f>721504+299547+635161</f>
        <v>1656212</v>
      </c>
      <c r="J81" s="47"/>
      <c r="K81" s="44">
        <v>2225211</v>
      </c>
      <c r="L81" s="47"/>
      <c r="M81" s="44">
        <v>4296659</v>
      </c>
      <c r="N81" s="47"/>
      <c r="O81" s="44">
        <v>0</v>
      </c>
      <c r="P81" s="47"/>
      <c r="Q81" s="47">
        <f t="shared" si="1"/>
        <v>44037089</v>
      </c>
      <c r="R81" s="30"/>
      <c r="S81" s="24">
        <v>4241641</v>
      </c>
      <c r="T81" s="96"/>
      <c r="U81" s="96">
        <f>+Q81-'St of Net Assets - GA'!M81-'LT _Lia - GA'!S81</f>
        <v>0</v>
      </c>
    </row>
    <row r="82" spans="1:21" ht="12" customHeight="1">
      <c r="A82" s="32" t="s">
        <v>69</v>
      </c>
      <c r="B82" s="32"/>
      <c r="C82" s="24">
        <f>2300000+5230000+11554</f>
        <v>7541554</v>
      </c>
      <c r="D82" s="30"/>
      <c r="E82" s="24">
        <v>2945000</v>
      </c>
      <c r="F82" s="30"/>
      <c r="G82" s="24">
        <v>0</v>
      </c>
      <c r="H82" s="30"/>
      <c r="I82" s="24">
        <v>459171</v>
      </c>
      <c r="J82" s="30"/>
      <c r="K82" s="24">
        <v>144462</v>
      </c>
      <c r="L82" s="30"/>
      <c r="M82" s="24">
        <v>1770456</v>
      </c>
      <c r="N82" s="30"/>
      <c r="O82" s="24">
        <v>198646</v>
      </c>
      <c r="P82" s="30"/>
      <c r="Q82" s="30">
        <f t="shared" si="1"/>
        <v>13059289</v>
      </c>
      <c r="R82" s="37"/>
      <c r="S82" s="24">
        <v>2138742</v>
      </c>
      <c r="U82" s="96">
        <f>+Q82-'St of Net Assets - GA'!M82-'LT _Lia - GA'!S82</f>
        <v>0</v>
      </c>
    </row>
    <row r="83" spans="1:21" ht="12" customHeight="1">
      <c r="A83" s="32" t="s">
        <v>98</v>
      </c>
      <c r="B83" s="32"/>
      <c r="C83" s="24">
        <v>3710000</v>
      </c>
      <c r="D83" s="30"/>
      <c r="E83" s="24">
        <v>108847</v>
      </c>
      <c r="F83" s="30"/>
      <c r="G83" s="24">
        <v>0</v>
      </c>
      <c r="H83" s="30"/>
      <c r="I83" s="24">
        <v>0</v>
      </c>
      <c r="J83" s="30"/>
      <c r="K83" s="24">
        <v>187330</v>
      </c>
      <c r="L83" s="30"/>
      <c r="M83" s="24">
        <v>2187671</v>
      </c>
      <c r="N83" s="30"/>
      <c r="O83" s="24">
        <v>0</v>
      </c>
      <c r="P83" s="30"/>
      <c r="Q83" s="30">
        <f t="shared" si="1"/>
        <v>6193848</v>
      </c>
      <c r="R83" s="37"/>
      <c r="S83" s="24">
        <v>1533258</v>
      </c>
      <c r="U83" s="96">
        <f>+Q83-'St of Net Assets - GA'!M83-'LT _Lia - GA'!S83</f>
        <v>0</v>
      </c>
    </row>
    <row r="84" spans="1:21" ht="12" customHeight="1">
      <c r="A84" s="32" t="s">
        <v>70</v>
      </c>
      <c r="B84" s="32"/>
      <c r="C84" s="24">
        <v>10277635</v>
      </c>
      <c r="D84" s="30"/>
      <c r="E84" s="24">
        <v>0</v>
      </c>
      <c r="F84" s="30"/>
      <c r="G84" s="24">
        <v>0</v>
      </c>
      <c r="H84" s="30"/>
      <c r="I84" s="146">
        <f>17152+5954</f>
        <v>23106</v>
      </c>
      <c r="J84" s="30"/>
      <c r="K84" s="24">
        <v>2386364</v>
      </c>
      <c r="L84" s="30"/>
      <c r="M84" s="24">
        <v>1946591</v>
      </c>
      <c r="N84" s="30"/>
      <c r="O84" s="24">
        <v>8071</v>
      </c>
      <c r="P84" s="30"/>
      <c r="Q84" s="30">
        <f t="shared" si="1"/>
        <v>14641767</v>
      </c>
      <c r="R84" s="37"/>
      <c r="S84" s="24">
        <v>2497810</v>
      </c>
      <c r="U84" s="96">
        <f>+Q84-'St of Net Assets - GA'!M84-'LT _Lia - GA'!S84</f>
        <v>0</v>
      </c>
    </row>
    <row r="85" spans="1:21" ht="12" customHeight="1">
      <c r="A85" s="32" t="s">
        <v>71</v>
      </c>
      <c r="B85" s="32"/>
      <c r="C85" s="24">
        <v>4475000</v>
      </c>
      <c r="D85" s="30"/>
      <c r="E85" s="24">
        <v>0</v>
      </c>
      <c r="F85" s="30"/>
      <c r="G85" s="24">
        <v>0</v>
      </c>
      <c r="H85" s="30"/>
      <c r="I85" s="24">
        <f>66428</f>
        <v>66428</v>
      </c>
      <c r="J85" s="30"/>
      <c r="K85" s="24">
        <v>20378</v>
      </c>
      <c r="L85" s="30"/>
      <c r="M85" s="24">
        <v>1767245</v>
      </c>
      <c r="N85" s="30"/>
      <c r="O85" s="24">
        <v>0</v>
      </c>
      <c r="P85" s="30"/>
      <c r="Q85" s="30">
        <f t="shared" si="1"/>
        <v>6329051</v>
      </c>
      <c r="R85" s="37"/>
      <c r="S85" s="24">
        <v>850804</v>
      </c>
      <c r="U85" s="96">
        <f>+Q85-'St of Net Assets - GA'!M85-'LT _Lia - GA'!S85</f>
        <v>0</v>
      </c>
    </row>
    <row r="86" spans="1:21" ht="12" customHeight="1">
      <c r="A86" s="32" t="s">
        <v>72</v>
      </c>
      <c r="B86" s="32"/>
      <c r="C86" s="24">
        <f>319347</f>
        <v>319347</v>
      </c>
      <c r="D86" s="30"/>
      <c r="E86" s="24">
        <v>0</v>
      </c>
      <c r="F86" s="30"/>
      <c r="G86" s="24">
        <v>0</v>
      </c>
      <c r="H86" s="30"/>
      <c r="I86" s="24">
        <f>6354</f>
        <v>6354</v>
      </c>
      <c r="J86" s="30"/>
      <c r="K86" s="24">
        <v>419073</v>
      </c>
      <c r="L86" s="30"/>
      <c r="M86" s="24">
        <f>1624347</f>
        <v>1624347</v>
      </c>
      <c r="N86" s="30"/>
      <c r="O86" s="24">
        <v>0</v>
      </c>
      <c r="P86" s="30"/>
      <c r="Q86" s="30">
        <f t="shared" si="1"/>
        <v>2369121</v>
      </c>
      <c r="R86" s="37"/>
      <c r="S86" s="24">
        <v>425360</v>
      </c>
      <c r="U86" s="96">
        <f>+Q86-'St of Net Assets - GA'!M86-'LT _Lia - GA'!S86</f>
        <v>0</v>
      </c>
    </row>
    <row r="87" spans="1:21" ht="12" customHeight="1">
      <c r="A87" s="32" t="s">
        <v>73</v>
      </c>
      <c r="B87" s="32"/>
      <c r="C87" s="24">
        <v>0</v>
      </c>
      <c r="D87" s="30"/>
      <c r="E87" s="24">
        <v>5345029</v>
      </c>
      <c r="F87" s="30"/>
      <c r="G87" s="24">
        <v>0</v>
      </c>
      <c r="H87" s="30"/>
      <c r="I87" s="146">
        <f>3135387+3354594</f>
        <v>6489981</v>
      </c>
      <c r="J87" s="30"/>
      <c r="K87" s="24">
        <v>10655</v>
      </c>
      <c r="L87" s="30"/>
      <c r="M87" s="24">
        <v>8633180</v>
      </c>
      <c r="N87" s="30"/>
      <c r="O87" s="24">
        <v>3554880</v>
      </c>
      <c r="P87" s="30"/>
      <c r="Q87" s="30">
        <f t="shared" si="1"/>
        <v>24033725</v>
      </c>
      <c r="R87" s="37"/>
      <c r="S87" s="24">
        <v>7696113</v>
      </c>
      <c r="U87" s="96">
        <f>+Q87-'St of Net Assets - GA'!M87-'LT _Lia - GA'!S87</f>
        <v>0</v>
      </c>
    </row>
    <row r="88" spans="1:21" ht="12" customHeight="1" hidden="1">
      <c r="A88" s="32" t="s">
        <v>74</v>
      </c>
      <c r="B88" s="32"/>
      <c r="C88" s="24">
        <v>0</v>
      </c>
      <c r="D88" s="30"/>
      <c r="E88" s="24">
        <v>0</v>
      </c>
      <c r="F88" s="30"/>
      <c r="G88" s="24">
        <v>0</v>
      </c>
      <c r="H88" s="30"/>
      <c r="I88" s="24">
        <v>0</v>
      </c>
      <c r="J88" s="30"/>
      <c r="K88" s="24">
        <v>0</v>
      </c>
      <c r="L88" s="30"/>
      <c r="M88" s="24">
        <v>0</v>
      </c>
      <c r="N88" s="30"/>
      <c r="O88" s="24">
        <v>0</v>
      </c>
      <c r="P88" s="30"/>
      <c r="Q88" s="30">
        <f t="shared" si="1"/>
        <v>0</v>
      </c>
      <c r="R88" s="37"/>
      <c r="S88" s="24">
        <v>0</v>
      </c>
      <c r="U88" s="96">
        <f>+Q88-'St of Net Assets - GA'!M88-'LT _Lia - GA'!S88</f>
        <v>0</v>
      </c>
    </row>
    <row r="89" spans="1:21" ht="12" customHeight="1">
      <c r="A89" s="32" t="s">
        <v>75</v>
      </c>
      <c r="B89" s="32"/>
      <c r="C89" s="24">
        <f>18097301+3740000</f>
        <v>21837301</v>
      </c>
      <c r="D89" s="30"/>
      <c r="E89" s="24">
        <v>1784927</v>
      </c>
      <c r="F89" s="30"/>
      <c r="G89" s="24">
        <v>0</v>
      </c>
      <c r="H89" s="30"/>
      <c r="I89" s="24">
        <f>1777489+258953</f>
        <v>2036442</v>
      </c>
      <c r="J89" s="30"/>
      <c r="K89" s="24">
        <f>189570</f>
        <v>189570</v>
      </c>
      <c r="L89" s="30"/>
      <c r="M89" s="24">
        <v>5613936</v>
      </c>
      <c r="N89" s="30"/>
      <c r="O89" s="24">
        <v>1000256</v>
      </c>
      <c r="P89" s="30"/>
      <c r="Q89" s="30">
        <f t="shared" si="1"/>
        <v>32462432</v>
      </c>
      <c r="R89" s="37"/>
      <c r="S89" s="24">
        <v>3236497</v>
      </c>
      <c r="U89" s="96">
        <f>+Q89-'St of Net Assets - GA'!M89-'LT _Lia - GA'!S89</f>
        <v>0</v>
      </c>
    </row>
    <row r="90" spans="1:21" ht="12" customHeight="1">
      <c r="A90" s="32" t="s">
        <v>76</v>
      </c>
      <c r="B90" s="32"/>
      <c r="C90" s="24">
        <v>1450000</v>
      </c>
      <c r="D90" s="30"/>
      <c r="E90" s="24">
        <v>0</v>
      </c>
      <c r="F90" s="30"/>
      <c r="G90" s="24">
        <v>828000</v>
      </c>
      <c r="H90" s="30"/>
      <c r="I90" s="24">
        <v>0</v>
      </c>
      <c r="J90" s="30"/>
      <c r="K90" s="24">
        <v>20447</v>
      </c>
      <c r="L90" s="30"/>
      <c r="M90" s="24">
        <v>1818164</v>
      </c>
      <c r="N90" s="30"/>
      <c r="O90" s="24">
        <v>0</v>
      </c>
      <c r="P90" s="30"/>
      <c r="Q90" s="30">
        <f t="shared" si="1"/>
        <v>4116611</v>
      </c>
      <c r="R90" s="37"/>
      <c r="S90" s="24">
        <v>966780</v>
      </c>
      <c r="U90" s="96">
        <f>+Q90-'St of Net Assets - GA'!M90-'LT _Lia - GA'!S90</f>
        <v>0</v>
      </c>
    </row>
    <row r="91" spans="1:21" ht="12" customHeight="1">
      <c r="A91" s="32" t="s">
        <v>77</v>
      </c>
      <c r="B91" s="32"/>
      <c r="C91" s="24">
        <f>6915000+2385000-29250+81006</f>
        <v>9351756</v>
      </c>
      <c r="D91" s="30"/>
      <c r="E91" s="24">
        <v>0</v>
      </c>
      <c r="F91" s="30"/>
      <c r="G91" s="24">
        <v>0</v>
      </c>
      <c r="H91" s="30"/>
      <c r="I91" s="24">
        <v>3167</v>
      </c>
      <c r="J91" s="30"/>
      <c r="K91" s="24">
        <v>0</v>
      </c>
      <c r="L91" s="30"/>
      <c r="M91" s="24">
        <v>1648022</v>
      </c>
      <c r="N91" s="30"/>
      <c r="O91" s="24">
        <v>0</v>
      </c>
      <c r="P91" s="30"/>
      <c r="Q91" s="30">
        <f t="shared" si="1"/>
        <v>11002945</v>
      </c>
      <c r="R91" s="37"/>
      <c r="S91" s="24">
        <v>2251604</v>
      </c>
      <c r="U91" s="96">
        <f>+Q91-'St of Net Assets - GA'!M91-'LT _Lia - GA'!S91</f>
        <v>0</v>
      </c>
    </row>
    <row r="92" spans="1:21" ht="12" customHeight="1">
      <c r="A92" s="32" t="s">
        <v>78</v>
      </c>
      <c r="B92" s="32"/>
      <c r="C92" s="24">
        <v>4050992</v>
      </c>
      <c r="D92" s="30"/>
      <c r="E92" s="24">
        <v>0</v>
      </c>
      <c r="F92" s="30"/>
      <c r="G92" s="24">
        <v>1592997</v>
      </c>
      <c r="H92" s="30"/>
      <c r="I92" s="24">
        <v>665932</v>
      </c>
      <c r="J92" s="30"/>
      <c r="K92" s="24">
        <v>50853</v>
      </c>
      <c r="L92" s="30"/>
      <c r="M92" s="24">
        <v>799598</v>
      </c>
      <c r="N92" s="30"/>
      <c r="O92" s="24">
        <v>0</v>
      </c>
      <c r="P92" s="30"/>
      <c r="Q92" s="30">
        <f>SUM(C92:O92)</f>
        <v>7160372</v>
      </c>
      <c r="R92" s="37"/>
      <c r="S92" s="24">
        <v>891670</v>
      </c>
      <c r="U92" s="96">
        <f>+Q92-'St of Net Assets - GA'!M92-'LT _Lia - GA'!S92</f>
        <v>0</v>
      </c>
    </row>
    <row r="93" spans="1:21" ht="12" customHeight="1" hidden="1">
      <c r="A93" s="32" t="s">
        <v>79</v>
      </c>
      <c r="B93" s="32"/>
      <c r="C93" s="24">
        <v>0</v>
      </c>
      <c r="D93" s="30"/>
      <c r="E93" s="24">
        <v>0</v>
      </c>
      <c r="F93" s="30"/>
      <c r="G93" s="24">
        <v>0</v>
      </c>
      <c r="H93" s="30"/>
      <c r="I93" s="24">
        <v>0</v>
      </c>
      <c r="J93" s="30"/>
      <c r="K93" s="24">
        <v>0</v>
      </c>
      <c r="L93" s="30"/>
      <c r="M93" s="24">
        <v>0</v>
      </c>
      <c r="N93" s="30"/>
      <c r="O93" s="24">
        <v>0</v>
      </c>
      <c r="P93" s="30"/>
      <c r="Q93" s="30">
        <f t="shared" si="1"/>
        <v>0</v>
      </c>
      <c r="R93" s="37"/>
      <c r="S93" s="24">
        <v>0</v>
      </c>
      <c r="U93" s="96">
        <f>+Q93-'St of Net Assets - GA'!M93-'LT _Lia - GA'!S93</f>
        <v>0</v>
      </c>
    </row>
    <row r="94" spans="1:21" ht="12" customHeight="1">
      <c r="A94" s="32" t="s">
        <v>80</v>
      </c>
      <c r="B94" s="32"/>
      <c r="C94" s="24">
        <v>7753762</v>
      </c>
      <c r="D94" s="30"/>
      <c r="E94" s="24">
        <f>12329258+2325000</f>
        <v>14654258</v>
      </c>
      <c r="F94" s="30"/>
      <c r="G94" s="24">
        <v>0</v>
      </c>
      <c r="H94" s="30"/>
      <c r="I94" s="24">
        <v>5360173</v>
      </c>
      <c r="J94" s="30"/>
      <c r="K94" s="24">
        <v>8284</v>
      </c>
      <c r="L94" s="30"/>
      <c r="M94" s="24">
        <v>4825930</v>
      </c>
      <c r="N94" s="30"/>
      <c r="O94" s="24">
        <v>0</v>
      </c>
      <c r="P94" s="30"/>
      <c r="Q94" s="30">
        <f aca="true" t="shared" si="2" ref="Q94:Q99">SUM(C94:O94)</f>
        <v>32602407</v>
      </c>
      <c r="R94" s="37"/>
      <c r="S94" s="24">
        <v>3301274</v>
      </c>
      <c r="U94" s="96">
        <f>+Q94-'St of Net Assets - GA'!M94-'LT _Lia - GA'!S94</f>
        <v>0</v>
      </c>
    </row>
    <row r="95" spans="1:21" ht="12" customHeight="1">
      <c r="A95" s="32" t="s">
        <v>81</v>
      </c>
      <c r="B95" s="32"/>
      <c r="C95" s="24">
        <f>4533373+290000+13799</f>
        <v>4837172</v>
      </c>
      <c r="D95" s="30"/>
      <c r="E95" s="24">
        <v>0</v>
      </c>
      <c r="F95" s="30"/>
      <c r="G95" s="24">
        <v>0</v>
      </c>
      <c r="H95" s="30"/>
      <c r="I95" s="24">
        <v>0</v>
      </c>
      <c r="J95" s="30"/>
      <c r="K95" s="24">
        <v>32224</v>
      </c>
      <c r="L95" s="30"/>
      <c r="M95" s="24">
        <v>535318</v>
      </c>
      <c r="N95" s="30"/>
      <c r="O95" s="24">
        <v>0</v>
      </c>
      <c r="P95" s="30"/>
      <c r="Q95" s="30">
        <f t="shared" si="2"/>
        <v>5404714</v>
      </c>
      <c r="R95" s="37"/>
      <c r="S95" s="24">
        <v>441278</v>
      </c>
      <c r="U95" s="96">
        <f>+Q95-'St of Net Assets - GA'!M95-'LT _Lia - GA'!S95</f>
        <v>0</v>
      </c>
    </row>
    <row r="96" spans="1:21" ht="12" customHeight="1">
      <c r="A96" s="32" t="s">
        <v>82</v>
      </c>
      <c r="B96" s="32"/>
      <c r="C96" s="24">
        <v>8297000</v>
      </c>
      <c r="D96" s="30"/>
      <c r="E96" s="24">
        <v>0</v>
      </c>
      <c r="F96" s="30"/>
      <c r="G96" s="24">
        <v>0</v>
      </c>
      <c r="H96" s="30"/>
      <c r="I96" s="24">
        <v>189941</v>
      </c>
      <c r="J96" s="30"/>
      <c r="K96" s="24">
        <v>0</v>
      </c>
      <c r="L96" s="30"/>
      <c r="M96" s="24">
        <v>3206042</v>
      </c>
      <c r="N96" s="30"/>
      <c r="O96" s="24">
        <v>0</v>
      </c>
      <c r="P96" s="30"/>
      <c r="Q96" s="30">
        <f t="shared" si="2"/>
        <v>11692983</v>
      </c>
      <c r="R96" s="37"/>
      <c r="S96" s="24">
        <v>1492444</v>
      </c>
      <c r="U96" s="96">
        <f>+Q96-'St of Net Assets - GA'!M96-'LT _Lia - GA'!S96</f>
        <v>0</v>
      </c>
    </row>
    <row r="97" spans="1:21" ht="12" customHeight="1" hidden="1">
      <c r="A97" s="32" t="s">
        <v>174</v>
      </c>
      <c r="B97" s="32"/>
      <c r="C97" s="24">
        <v>0</v>
      </c>
      <c r="D97" s="30"/>
      <c r="E97" s="24">
        <v>0</v>
      </c>
      <c r="F97" s="30"/>
      <c r="G97" s="24">
        <v>0</v>
      </c>
      <c r="H97" s="30"/>
      <c r="I97" s="24">
        <v>0</v>
      </c>
      <c r="J97" s="30"/>
      <c r="K97" s="24">
        <v>0</v>
      </c>
      <c r="L97" s="30"/>
      <c r="M97" s="24">
        <v>0</v>
      </c>
      <c r="N97" s="30"/>
      <c r="O97" s="24">
        <v>0</v>
      </c>
      <c r="P97" s="30"/>
      <c r="Q97" s="30">
        <f t="shared" si="2"/>
        <v>0</v>
      </c>
      <c r="R97" s="37"/>
      <c r="S97" s="24">
        <v>0</v>
      </c>
      <c r="U97" s="96">
        <f>+Q97-'St of Net Assets - GA'!M97-'LT _Lia - GA'!S97</f>
        <v>0</v>
      </c>
    </row>
    <row r="98" spans="1:21" ht="12" customHeight="1">
      <c r="A98" s="32" t="s">
        <v>83</v>
      </c>
      <c r="B98" s="32"/>
      <c r="C98" s="24">
        <v>5483481</v>
      </c>
      <c r="D98" s="30"/>
      <c r="E98" s="24">
        <v>375000</v>
      </c>
      <c r="F98" s="30"/>
      <c r="G98" s="24">
        <v>0</v>
      </c>
      <c r="H98" s="30"/>
      <c r="I98" s="24">
        <v>0</v>
      </c>
      <c r="J98" s="30"/>
      <c r="K98" s="24">
        <v>93590</v>
      </c>
      <c r="L98" s="30"/>
      <c r="M98" s="24">
        <v>4786238</v>
      </c>
      <c r="N98" s="30"/>
      <c r="O98" s="24">
        <v>0</v>
      </c>
      <c r="P98" s="30"/>
      <c r="Q98" s="30">
        <f t="shared" si="2"/>
        <v>10738309</v>
      </c>
      <c r="R98" s="37"/>
      <c r="S98" s="24">
        <v>2819646</v>
      </c>
      <c r="U98" s="96">
        <f>+Q98-'St of Net Assets - GA'!M98-'LT _Lia - GA'!S98</f>
        <v>0</v>
      </c>
    </row>
    <row r="99" spans="1:21" ht="12" customHeight="1" hidden="1">
      <c r="A99" s="32" t="s">
        <v>175</v>
      </c>
      <c r="B99" s="32"/>
      <c r="C99" s="24">
        <v>0</v>
      </c>
      <c r="D99" s="30"/>
      <c r="E99" s="24">
        <v>0</v>
      </c>
      <c r="F99" s="30"/>
      <c r="G99" s="24">
        <v>0</v>
      </c>
      <c r="H99" s="30"/>
      <c r="I99" s="24">
        <v>0</v>
      </c>
      <c r="J99" s="30"/>
      <c r="K99" s="24">
        <v>0</v>
      </c>
      <c r="L99" s="30"/>
      <c r="M99" s="24">
        <v>0</v>
      </c>
      <c r="N99" s="30"/>
      <c r="O99" s="24">
        <v>0</v>
      </c>
      <c r="P99" s="30"/>
      <c r="Q99" s="30">
        <f t="shared" si="2"/>
        <v>0</v>
      </c>
      <c r="R99" s="37"/>
      <c r="S99" s="24">
        <v>0</v>
      </c>
      <c r="U99" s="96">
        <f>+Q99-'St of Net Assets - GA'!M99-'LT _Lia - GA'!S99</f>
        <v>0</v>
      </c>
    </row>
    <row r="100" spans="1:19" ht="12" customHeight="1">
      <c r="A100" s="32"/>
      <c r="B100" s="3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32"/>
    </row>
    <row r="101" spans="1:19" ht="12" customHeight="1">
      <c r="A101" s="32"/>
      <c r="B101" s="3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2"/>
    </row>
    <row r="102" spans="1:19" ht="12" customHeight="1">
      <c r="A102" s="32"/>
      <c r="B102" s="32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</row>
    <row r="103" spans="1:19" ht="12" customHeight="1">
      <c r="A103" s="32"/>
      <c r="B103" s="32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</row>
    <row r="104" spans="1:19" ht="12" customHeight="1">
      <c r="A104" s="32"/>
      <c r="B104" s="32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</row>
    <row r="105" spans="1:19" ht="12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2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</sheetData>
  <sheetProtection/>
  <printOptions/>
  <pageMargins left="1" right="1" top="0.5" bottom="0.5" header="0" footer="0.25"/>
  <pageSetup firstPageNumber="58" useFirstPageNumber="1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7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103"/>
  <sheetViews>
    <sheetView zoomScale="130" zoomScaleNormal="13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S98" sqref="S98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0.7109375" style="39" customWidth="1"/>
    <col min="4" max="4" width="1.7109375" style="39" customWidth="1"/>
    <col min="5" max="5" width="10.7109375" style="39" customWidth="1"/>
    <col min="6" max="6" width="1.7109375" style="39" customWidth="1"/>
    <col min="7" max="7" width="10.7109375" style="39" customWidth="1"/>
    <col min="8" max="8" width="1.7109375" style="39" customWidth="1"/>
    <col min="9" max="9" width="10.7109375" style="39" customWidth="1"/>
    <col min="10" max="10" width="1.7109375" style="39" customWidth="1"/>
    <col min="11" max="11" width="10.7109375" style="39" customWidth="1"/>
    <col min="12" max="12" width="1.7109375" style="39" customWidth="1"/>
    <col min="13" max="13" width="10.7109375" style="39" customWidth="1"/>
    <col min="14" max="14" width="1.7109375" style="39" customWidth="1"/>
    <col min="15" max="15" width="10.7109375" style="39" customWidth="1"/>
    <col min="16" max="16" width="1.7109375" style="39" customWidth="1"/>
    <col min="17" max="17" width="12.7109375" style="39" customWidth="1"/>
    <col min="18" max="18" width="1.7109375" style="39" customWidth="1"/>
    <col min="19" max="19" width="10.7109375" style="39" customWidth="1"/>
    <col min="20" max="20" width="1.7109375" style="39" customWidth="1"/>
    <col min="21" max="21" width="10.7109375" style="39" customWidth="1"/>
    <col min="22" max="22" width="1.7109375" style="39" customWidth="1"/>
    <col min="23" max="23" width="11.421875" style="96" bestFit="1" customWidth="1"/>
    <col min="24" max="24" width="1.7109375" style="96" customWidth="1"/>
    <col min="25" max="25" width="12.7109375" style="96" customWidth="1"/>
    <col min="26" max="27" width="9.28125" style="26" bestFit="1" customWidth="1"/>
    <col min="28" max="16384" width="9.140625" style="26" customWidth="1"/>
  </cols>
  <sheetData>
    <row r="1" spans="1:25" ht="12.75" customHeight="1">
      <c r="A1" s="49" t="s">
        <v>198</v>
      </c>
      <c r="B1" s="3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2.75" customHeight="1">
      <c r="A2" s="49" t="s">
        <v>255</v>
      </c>
      <c r="B2" s="3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2.75" customHeight="1">
      <c r="A3" s="49" t="s">
        <v>249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2.75" customHeight="1">
      <c r="A4" s="49" t="s">
        <v>184</v>
      </c>
      <c r="B4" s="3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2.75" customHeight="1">
      <c r="A5" s="33"/>
      <c r="B5" s="3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2.75" customHeight="1">
      <c r="A6" s="49"/>
      <c r="B6" s="33"/>
      <c r="C6" s="50" t="s">
        <v>144</v>
      </c>
      <c r="D6" s="50"/>
      <c r="E6" s="50"/>
      <c r="F6" s="50"/>
      <c r="G6" s="50"/>
      <c r="H6" s="24"/>
      <c r="I6" s="50" t="s">
        <v>145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2" t="s">
        <v>4</v>
      </c>
      <c r="X6" s="51"/>
      <c r="Y6" s="21" t="s">
        <v>4</v>
      </c>
    </row>
    <row r="7" spans="1:25" ht="12.75" customHeight="1">
      <c r="A7" s="19"/>
      <c r="B7" s="19"/>
      <c r="C7" s="52" t="s">
        <v>0</v>
      </c>
      <c r="D7" s="52"/>
      <c r="E7" s="52" t="s">
        <v>147</v>
      </c>
      <c r="F7" s="52"/>
      <c r="G7" s="52" t="s">
        <v>87</v>
      </c>
      <c r="H7" s="24"/>
      <c r="I7" s="21" t="s">
        <v>148</v>
      </c>
      <c r="J7" s="21"/>
      <c r="K7" s="21" t="s">
        <v>167</v>
      </c>
      <c r="L7" s="21"/>
      <c r="M7" s="21" t="s">
        <v>105</v>
      </c>
      <c r="N7" s="21"/>
      <c r="O7" s="21" t="s">
        <v>143</v>
      </c>
      <c r="P7" s="21"/>
      <c r="Q7" s="52" t="s">
        <v>149</v>
      </c>
      <c r="R7" s="52"/>
      <c r="S7" s="52"/>
      <c r="T7" s="52"/>
      <c r="U7" s="52"/>
      <c r="V7" s="52"/>
      <c r="W7" s="52" t="s">
        <v>103</v>
      </c>
      <c r="X7" s="52"/>
      <c r="Y7" s="52" t="s">
        <v>177</v>
      </c>
    </row>
    <row r="8" spans="1:25" ht="12.75" customHeight="1">
      <c r="A8" s="53" t="s">
        <v>5</v>
      </c>
      <c r="B8" s="19"/>
      <c r="C8" s="20" t="s">
        <v>8</v>
      </c>
      <c r="D8" s="24"/>
      <c r="E8" s="20" t="s">
        <v>151</v>
      </c>
      <c r="F8" s="24"/>
      <c r="G8" s="20" t="s">
        <v>152</v>
      </c>
      <c r="H8" s="24"/>
      <c r="I8" s="20" t="s">
        <v>6</v>
      </c>
      <c r="J8" s="24"/>
      <c r="K8" s="20" t="s">
        <v>6</v>
      </c>
      <c r="L8" s="20"/>
      <c r="M8" s="20" t="s">
        <v>6</v>
      </c>
      <c r="N8" s="24"/>
      <c r="O8" s="20" t="s">
        <v>152</v>
      </c>
      <c r="P8" s="24"/>
      <c r="Q8" s="20" t="s">
        <v>153</v>
      </c>
      <c r="R8" s="24"/>
      <c r="S8" s="20" t="s">
        <v>105</v>
      </c>
      <c r="T8" s="24"/>
      <c r="U8" s="20" t="s">
        <v>154</v>
      </c>
      <c r="V8" s="24"/>
      <c r="W8" s="20" t="s">
        <v>12</v>
      </c>
      <c r="X8" s="24"/>
      <c r="Y8" s="20" t="s">
        <v>247</v>
      </c>
    </row>
    <row r="9" spans="1:25" ht="12.75" customHeight="1">
      <c r="A9" s="19"/>
      <c r="B9" s="19"/>
      <c r="C9" s="21"/>
      <c r="D9" s="24"/>
      <c r="E9" s="21"/>
      <c r="F9" s="24"/>
      <c r="G9" s="21"/>
      <c r="H9" s="24"/>
      <c r="I9" s="21"/>
      <c r="J9" s="24"/>
      <c r="K9" s="21"/>
      <c r="L9" s="21"/>
      <c r="M9" s="21"/>
      <c r="N9" s="24"/>
      <c r="O9" s="21"/>
      <c r="P9" s="24"/>
      <c r="Q9" s="21"/>
      <c r="R9" s="24"/>
      <c r="S9" s="21"/>
      <c r="T9" s="24"/>
      <c r="U9" s="21"/>
      <c r="V9" s="24"/>
      <c r="W9" s="24"/>
      <c r="X9" s="24"/>
      <c r="Y9" s="21"/>
    </row>
    <row r="10" spans="1:25" ht="12.75" customHeight="1" hidden="1">
      <c r="A10" s="89" t="s">
        <v>237</v>
      </c>
      <c r="B10" s="19"/>
      <c r="C10" s="44">
        <v>3311148</v>
      </c>
      <c r="D10" s="44"/>
      <c r="E10" s="44">
        <v>11220981</v>
      </c>
      <c r="F10" s="44"/>
      <c r="G10" s="44">
        <v>1538780</v>
      </c>
      <c r="H10" s="44"/>
      <c r="I10" s="44">
        <f>1795240+2773415+131005</f>
        <v>4699660</v>
      </c>
      <c r="J10" s="44"/>
      <c r="K10" s="44">
        <v>2169247</v>
      </c>
      <c r="L10" s="44"/>
      <c r="M10" s="44">
        <v>0</v>
      </c>
      <c r="N10" s="44"/>
      <c r="O10" s="44">
        <v>1274609</v>
      </c>
      <c r="P10" s="44"/>
      <c r="Q10" s="44">
        <v>98276</v>
      </c>
      <c r="R10" s="44"/>
      <c r="S10" s="44">
        <f>604998+810359</f>
        <v>1415357</v>
      </c>
      <c r="T10" s="44"/>
      <c r="U10" s="44">
        <v>0</v>
      </c>
      <c r="V10" s="44"/>
      <c r="W10" s="44">
        <f>SUM(I10:U10)</f>
        <v>9657149</v>
      </c>
      <c r="X10" s="44"/>
      <c r="Y10" s="44">
        <f>SUM(B10:V10)</f>
        <v>25728058</v>
      </c>
    </row>
    <row r="11" spans="1:25" ht="12.75" customHeight="1">
      <c r="A11" s="23" t="s">
        <v>13</v>
      </c>
      <c r="B11" s="23"/>
      <c r="C11" s="44">
        <v>10118035</v>
      </c>
      <c r="D11" s="44"/>
      <c r="E11" s="44">
        <v>28699690</v>
      </c>
      <c r="F11" s="44"/>
      <c r="G11" s="44">
        <v>1959219</v>
      </c>
      <c r="H11" s="44"/>
      <c r="I11" s="44">
        <f>4715014+4624397+1502117</f>
        <v>10841528</v>
      </c>
      <c r="J11" s="44"/>
      <c r="K11" s="44">
        <v>14245977</v>
      </c>
      <c r="L11" s="44"/>
      <c r="M11" s="44">
        <v>0</v>
      </c>
      <c r="N11" s="44"/>
      <c r="O11" s="44">
        <v>5826292</v>
      </c>
      <c r="P11" s="44"/>
      <c r="Q11" s="44">
        <v>11292</v>
      </c>
      <c r="R11" s="44"/>
      <c r="S11" s="44">
        <f>-172195+2888662</f>
        <v>2716467</v>
      </c>
      <c r="T11" s="44"/>
      <c r="U11" s="44">
        <v>0</v>
      </c>
      <c r="V11" s="44"/>
      <c r="W11" s="44">
        <f>SUM(I11:U11)</f>
        <v>33641556</v>
      </c>
      <c r="X11" s="44"/>
      <c r="Y11" s="44">
        <f>SUM(B11:V11)</f>
        <v>74418500</v>
      </c>
    </row>
    <row r="12" spans="1:25" ht="12.75" customHeight="1">
      <c r="A12" s="23" t="s">
        <v>14</v>
      </c>
      <c r="B12" s="23"/>
      <c r="C12" s="24">
        <v>3266283</v>
      </c>
      <c r="D12" s="24"/>
      <c r="E12" s="24">
        <v>16548761</v>
      </c>
      <c r="F12" s="24"/>
      <c r="G12" s="24">
        <v>0</v>
      </c>
      <c r="H12" s="24"/>
      <c r="I12" s="24">
        <f>2264746+680540+3300177+492083</f>
        <v>6737546</v>
      </c>
      <c r="J12" s="24"/>
      <c r="K12" s="24">
        <f>4840171+809674+400200</f>
        <v>6050045</v>
      </c>
      <c r="L12" s="24"/>
      <c r="M12" s="24">
        <f>24344+4617</f>
        <v>28961</v>
      </c>
      <c r="N12" s="24"/>
      <c r="O12" s="24">
        <v>2522665</v>
      </c>
      <c r="P12" s="24"/>
      <c r="Q12" s="24">
        <v>139524</v>
      </c>
      <c r="R12" s="24"/>
      <c r="S12" s="24">
        <v>1303104</v>
      </c>
      <c r="T12" s="24"/>
      <c r="U12" s="24">
        <v>-8</v>
      </c>
      <c r="V12" s="24"/>
      <c r="W12" s="24">
        <f>SUM(I12:U12)</f>
        <v>16781837</v>
      </c>
      <c r="X12" s="24"/>
      <c r="Y12" s="24">
        <f aca="true" t="shared" si="0" ref="Y12:Y28">SUM(B12:V12)</f>
        <v>36596881</v>
      </c>
    </row>
    <row r="13" spans="1:25" ht="12.75" customHeight="1">
      <c r="A13" s="23" t="s">
        <v>15</v>
      </c>
      <c r="B13" s="23"/>
      <c r="C13" s="24">
        <v>13968921</v>
      </c>
      <c r="D13" s="24"/>
      <c r="E13" s="24">
        <v>50270188</v>
      </c>
      <c r="F13" s="24"/>
      <c r="G13" s="24">
        <v>513166</v>
      </c>
      <c r="H13" s="24"/>
      <c r="I13" s="24">
        <f>3603209+5830530+4272062+872342</f>
        <v>14578143</v>
      </c>
      <c r="J13" s="24"/>
      <c r="K13" s="24">
        <v>8570869</v>
      </c>
      <c r="L13" s="24"/>
      <c r="M13" s="24">
        <v>0</v>
      </c>
      <c r="N13" s="24"/>
      <c r="O13" s="24">
        <v>8933448</v>
      </c>
      <c r="P13" s="24"/>
      <c r="Q13" s="24">
        <v>449604</v>
      </c>
      <c r="R13" s="24"/>
      <c r="S13" s="24">
        <v>868043</v>
      </c>
      <c r="T13" s="24"/>
      <c r="U13" s="24">
        <v>0</v>
      </c>
      <c r="V13" s="24"/>
      <c r="W13" s="24">
        <f aca="true" t="shared" si="1" ref="W13:W76">SUM(I13:U13)</f>
        <v>33400107</v>
      </c>
      <c r="X13" s="24"/>
      <c r="Y13" s="24">
        <f t="shared" si="0"/>
        <v>98152382</v>
      </c>
    </row>
    <row r="14" spans="1:25" ht="12.75" customHeight="1">
      <c r="A14" s="23" t="s">
        <v>16</v>
      </c>
      <c r="B14" s="23"/>
      <c r="C14" s="24">
        <v>5284055</v>
      </c>
      <c r="D14" s="24"/>
      <c r="E14" s="24">
        <v>24220318</v>
      </c>
      <c r="F14" s="24"/>
      <c r="G14" s="24">
        <v>592904</v>
      </c>
      <c r="H14" s="24"/>
      <c r="I14" s="24">
        <f>1945629+3325091+4236081+1498510+834023</f>
        <v>11839334</v>
      </c>
      <c r="J14" s="24"/>
      <c r="K14" s="24">
        <f>5388914+1347056</f>
        <v>6735970</v>
      </c>
      <c r="L14" s="24"/>
      <c r="M14" s="24">
        <v>0</v>
      </c>
      <c r="N14" s="24"/>
      <c r="O14" s="24">
        <v>1930005</v>
      </c>
      <c r="P14" s="24"/>
      <c r="Q14" s="24">
        <v>802564</v>
      </c>
      <c r="R14" s="24"/>
      <c r="S14" s="24">
        <v>1628391</v>
      </c>
      <c r="T14" s="24"/>
      <c r="U14" s="24">
        <v>0</v>
      </c>
      <c r="V14" s="24"/>
      <c r="W14" s="24">
        <f>SUM(I14:U14)</f>
        <v>22936264</v>
      </c>
      <c r="X14" s="24"/>
      <c r="Y14" s="24">
        <f t="shared" si="0"/>
        <v>53033541</v>
      </c>
    </row>
    <row r="15" spans="1:25" ht="12.75" customHeight="1">
      <c r="A15" s="23" t="s">
        <v>17</v>
      </c>
      <c r="B15" s="23"/>
      <c r="C15" s="24">
        <v>6920385</v>
      </c>
      <c r="D15" s="24"/>
      <c r="E15" s="24">
        <v>11006322</v>
      </c>
      <c r="F15" s="24"/>
      <c r="G15" s="24">
        <v>411450</v>
      </c>
      <c r="H15" s="24"/>
      <c r="I15" s="24">
        <f>1936598+3490597</f>
        <v>5427195</v>
      </c>
      <c r="J15" s="24"/>
      <c r="K15" s="24">
        <f>6553932+514882+120000</f>
        <v>7188814</v>
      </c>
      <c r="L15" s="24"/>
      <c r="M15" s="24">
        <v>0</v>
      </c>
      <c r="N15" s="24"/>
      <c r="O15" s="24">
        <v>902145</v>
      </c>
      <c r="P15" s="24"/>
      <c r="Q15" s="24">
        <v>236831</v>
      </c>
      <c r="R15" s="24"/>
      <c r="S15" s="24">
        <f>-275320+226036</f>
        <v>-49284</v>
      </c>
      <c r="T15" s="24"/>
      <c r="U15" s="24">
        <v>0</v>
      </c>
      <c r="V15" s="24"/>
      <c r="W15" s="24">
        <f t="shared" si="1"/>
        <v>13705701</v>
      </c>
      <c r="X15" s="24"/>
      <c r="Y15" s="24">
        <f t="shared" si="0"/>
        <v>32043858</v>
      </c>
    </row>
    <row r="16" spans="1:25" ht="12.75" customHeight="1">
      <c r="A16" s="23" t="s">
        <v>18</v>
      </c>
      <c r="B16" s="23"/>
      <c r="C16" s="24">
        <v>6952418</v>
      </c>
      <c r="D16" s="24"/>
      <c r="E16" s="24">
        <v>20830351</v>
      </c>
      <c r="F16" s="24"/>
      <c r="G16" s="24">
        <v>662035</v>
      </c>
      <c r="H16" s="24"/>
      <c r="I16" s="24">
        <f>2057108+4030912+699389+2595849+384740</f>
        <v>9767998</v>
      </c>
      <c r="J16" s="24"/>
      <c r="K16" s="24">
        <f>359693+11287907</f>
        <v>11647600</v>
      </c>
      <c r="L16" s="24"/>
      <c r="M16" s="24">
        <v>0</v>
      </c>
      <c r="N16" s="24"/>
      <c r="O16" s="24">
        <v>1201929</v>
      </c>
      <c r="P16" s="24"/>
      <c r="Q16" s="24">
        <v>938180</v>
      </c>
      <c r="R16" s="24"/>
      <c r="S16" s="24">
        <v>1407801</v>
      </c>
      <c r="T16" s="24"/>
      <c r="U16" s="24">
        <v>-184934</v>
      </c>
      <c r="V16" s="24"/>
      <c r="W16" s="24">
        <f t="shared" si="1"/>
        <v>24778574</v>
      </c>
      <c r="X16" s="24"/>
      <c r="Y16" s="24">
        <f t="shared" si="0"/>
        <v>53223378</v>
      </c>
    </row>
    <row r="17" spans="1:25" ht="12.75" customHeight="1" hidden="1">
      <c r="A17" s="23" t="s">
        <v>240</v>
      </c>
      <c r="B17" s="23"/>
      <c r="C17" s="24">
        <v>0</v>
      </c>
      <c r="D17" s="24"/>
      <c r="E17" s="24">
        <v>0</v>
      </c>
      <c r="F17" s="24"/>
      <c r="G17" s="24">
        <v>0</v>
      </c>
      <c r="H17" s="24"/>
      <c r="I17" s="24">
        <v>0</v>
      </c>
      <c r="J17" s="24"/>
      <c r="K17" s="24">
        <v>0</v>
      </c>
      <c r="L17" s="24"/>
      <c r="M17" s="24">
        <v>0</v>
      </c>
      <c r="N17" s="24"/>
      <c r="O17" s="24">
        <v>0</v>
      </c>
      <c r="P17" s="24"/>
      <c r="Q17" s="24">
        <v>0</v>
      </c>
      <c r="R17" s="24"/>
      <c r="S17" s="24">
        <v>0</v>
      </c>
      <c r="T17" s="24"/>
      <c r="U17" s="24">
        <v>0</v>
      </c>
      <c r="V17" s="24"/>
      <c r="W17" s="24">
        <f t="shared" si="1"/>
        <v>0</v>
      </c>
      <c r="X17" s="24"/>
      <c r="Y17" s="24">
        <f t="shared" si="0"/>
        <v>0</v>
      </c>
    </row>
    <row r="18" spans="1:25" ht="12.75" customHeight="1">
      <c r="A18" s="23" t="s">
        <v>238</v>
      </c>
      <c r="B18" s="23"/>
      <c r="C18" s="24">
        <v>40071814</v>
      </c>
      <c r="D18" s="24"/>
      <c r="E18" s="24">
        <v>94761474</v>
      </c>
      <c r="F18" s="24"/>
      <c r="G18" s="24">
        <v>5773244</v>
      </c>
      <c r="H18" s="24"/>
      <c r="I18" s="24">
        <v>59510293</v>
      </c>
      <c r="J18" s="24"/>
      <c r="K18" s="24">
        <v>30225506</v>
      </c>
      <c r="L18" s="24"/>
      <c r="M18" s="24">
        <v>8601549</v>
      </c>
      <c r="N18" s="24"/>
      <c r="O18" s="24">
        <v>13554729</v>
      </c>
      <c r="P18" s="24"/>
      <c r="Q18" s="24">
        <v>3380084</v>
      </c>
      <c r="R18" s="24"/>
      <c r="S18" s="24">
        <v>2629479</v>
      </c>
      <c r="T18" s="24"/>
      <c r="U18" s="24">
        <v>0</v>
      </c>
      <c r="V18" s="24"/>
      <c r="W18" s="24">
        <f t="shared" si="1"/>
        <v>117901640</v>
      </c>
      <c r="X18" s="24"/>
      <c r="Y18" s="24">
        <f t="shared" si="0"/>
        <v>258508172</v>
      </c>
    </row>
    <row r="19" spans="1:25" ht="12.75" customHeight="1">
      <c r="A19" s="23" t="s">
        <v>20</v>
      </c>
      <c r="B19" s="23"/>
      <c r="C19" s="24">
        <v>3271837</v>
      </c>
      <c r="D19" s="24"/>
      <c r="E19" s="24">
        <v>13358394</v>
      </c>
      <c r="F19" s="24"/>
      <c r="G19" s="24">
        <v>1806317</v>
      </c>
      <c r="H19" s="24"/>
      <c r="I19" s="24">
        <f>1648537+2177202+650502+235338</f>
        <v>4711579</v>
      </c>
      <c r="J19" s="24"/>
      <c r="K19" s="24">
        <v>1808612</v>
      </c>
      <c r="L19" s="24"/>
      <c r="M19" s="24">
        <v>0</v>
      </c>
      <c r="N19" s="24"/>
      <c r="O19" s="24">
        <v>775718</v>
      </c>
      <c r="P19" s="24"/>
      <c r="Q19" s="24">
        <v>82167</v>
      </c>
      <c r="R19" s="24"/>
      <c r="S19" s="24">
        <v>313580</v>
      </c>
      <c r="T19" s="24"/>
      <c r="U19" s="24">
        <v>-38030</v>
      </c>
      <c r="V19" s="24"/>
      <c r="W19" s="24">
        <f t="shared" si="1"/>
        <v>7653626</v>
      </c>
      <c r="X19" s="24"/>
      <c r="Y19" s="24">
        <f t="shared" si="0"/>
        <v>26090174</v>
      </c>
    </row>
    <row r="20" spans="1:25" ht="12.75" customHeight="1" hidden="1">
      <c r="A20" s="23" t="s">
        <v>173</v>
      </c>
      <c r="B20" s="23"/>
      <c r="C20" s="24">
        <v>0</v>
      </c>
      <c r="D20" s="24"/>
      <c r="E20" s="24">
        <v>0</v>
      </c>
      <c r="F20" s="24"/>
      <c r="G20" s="24">
        <v>0</v>
      </c>
      <c r="H20" s="24"/>
      <c r="I20" s="24">
        <v>0</v>
      </c>
      <c r="J20" s="24"/>
      <c r="K20" s="24">
        <v>0</v>
      </c>
      <c r="L20" s="24"/>
      <c r="M20" s="24">
        <v>0</v>
      </c>
      <c r="N20" s="24"/>
      <c r="O20" s="24">
        <v>0</v>
      </c>
      <c r="P20" s="24"/>
      <c r="Q20" s="24">
        <v>0</v>
      </c>
      <c r="R20" s="24"/>
      <c r="S20" s="24">
        <v>0</v>
      </c>
      <c r="T20" s="24"/>
      <c r="U20" s="24">
        <v>0</v>
      </c>
      <c r="V20" s="24"/>
      <c r="W20" s="24">
        <f t="shared" si="1"/>
        <v>0</v>
      </c>
      <c r="X20" s="24"/>
      <c r="Y20" s="24">
        <f t="shared" si="0"/>
        <v>0</v>
      </c>
    </row>
    <row r="21" spans="1:25" ht="12.75" customHeight="1">
      <c r="A21" s="23" t="s">
        <v>21</v>
      </c>
      <c r="B21" s="23"/>
      <c r="C21" s="24">
        <v>18937572</v>
      </c>
      <c r="D21" s="24"/>
      <c r="E21" s="24">
        <v>47792693</v>
      </c>
      <c r="F21" s="24"/>
      <c r="G21" s="24">
        <v>5421738</v>
      </c>
      <c r="H21" s="24"/>
      <c r="I21" s="24">
        <f>3443154+2291131+9757096+2215623</f>
        <v>17707004</v>
      </c>
      <c r="J21" s="24"/>
      <c r="K21" s="24">
        <v>19451080</v>
      </c>
      <c r="L21" s="24"/>
      <c r="M21" s="24">
        <v>0</v>
      </c>
      <c r="N21" s="24"/>
      <c r="O21" s="24">
        <v>5324949</v>
      </c>
      <c r="P21" s="24"/>
      <c r="Q21" s="24">
        <v>803985</v>
      </c>
      <c r="R21" s="24"/>
      <c r="S21" s="24">
        <f>14995+1859071</f>
        <v>1874066</v>
      </c>
      <c r="T21" s="24"/>
      <c r="U21" s="24">
        <v>250090</v>
      </c>
      <c r="V21" s="24"/>
      <c r="W21" s="24">
        <f t="shared" si="1"/>
        <v>45411174</v>
      </c>
      <c r="X21" s="24"/>
      <c r="Y21" s="24">
        <f t="shared" si="0"/>
        <v>117563177</v>
      </c>
    </row>
    <row r="22" spans="1:25" ht="12.75" customHeight="1">
      <c r="A22" s="23" t="s">
        <v>181</v>
      </c>
      <c r="B22" s="23"/>
      <c r="C22" s="24">
        <v>22864454</v>
      </c>
      <c r="D22" s="24"/>
      <c r="E22" s="24">
        <v>29908877</v>
      </c>
      <c r="F22" s="24"/>
      <c r="G22" s="24">
        <v>11089846</v>
      </c>
      <c r="H22" s="24"/>
      <c r="I22" s="24">
        <f>8488115+7510725+4033382</f>
        <v>20032222</v>
      </c>
      <c r="J22" s="24"/>
      <c r="K22" s="24">
        <v>22548673</v>
      </c>
      <c r="L22" s="24"/>
      <c r="M22" s="24">
        <v>499899</v>
      </c>
      <c r="N22" s="24"/>
      <c r="O22" s="24">
        <v>6912591</v>
      </c>
      <c r="P22" s="24"/>
      <c r="Q22" s="24">
        <v>1011196</v>
      </c>
      <c r="R22" s="24"/>
      <c r="S22" s="24">
        <v>1302747</v>
      </c>
      <c r="T22" s="24"/>
      <c r="U22" s="24">
        <v>0</v>
      </c>
      <c r="V22" s="24"/>
      <c r="W22" s="24">
        <f t="shared" si="1"/>
        <v>52307328</v>
      </c>
      <c r="X22" s="24"/>
      <c r="Y22" s="24">
        <f t="shared" si="0"/>
        <v>116170505</v>
      </c>
    </row>
    <row r="23" spans="1:25" ht="12.75" customHeight="1">
      <c r="A23" s="23" t="s">
        <v>22</v>
      </c>
      <c r="B23" s="23"/>
      <c r="C23" s="24">
        <v>4305773</v>
      </c>
      <c r="D23" s="24"/>
      <c r="E23" s="24">
        <v>13192263</v>
      </c>
      <c r="F23" s="24"/>
      <c r="G23" s="24">
        <v>417680</v>
      </c>
      <c r="H23" s="24"/>
      <c r="I23" s="24">
        <f>1663436+516620+74002+3085556+1118308+327756+352821+217226+2328</f>
        <v>7358053</v>
      </c>
      <c r="J23" s="24"/>
      <c r="K23" s="24">
        <v>6206100</v>
      </c>
      <c r="L23" s="24"/>
      <c r="M23" s="24">
        <v>0</v>
      </c>
      <c r="N23" s="24"/>
      <c r="O23" s="24">
        <v>1632037</v>
      </c>
      <c r="P23" s="24"/>
      <c r="Q23" s="24">
        <v>126335</v>
      </c>
      <c r="R23" s="24"/>
      <c r="S23" s="24">
        <v>1382044</v>
      </c>
      <c r="T23" s="24"/>
      <c r="U23" s="24">
        <v>44483322</v>
      </c>
      <c r="V23" s="24"/>
      <c r="W23" s="24">
        <f t="shared" si="1"/>
        <v>61187891</v>
      </c>
      <c r="X23" s="24"/>
      <c r="Y23" s="24">
        <f t="shared" si="0"/>
        <v>79103607</v>
      </c>
    </row>
    <row r="24" spans="1:25" ht="12.75" customHeight="1" hidden="1">
      <c r="A24" s="23" t="s">
        <v>23</v>
      </c>
      <c r="B24" s="23"/>
      <c r="C24" s="24"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0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v>0</v>
      </c>
      <c r="T24" s="24"/>
      <c r="U24" s="24">
        <v>0</v>
      </c>
      <c r="V24" s="24"/>
      <c r="W24" s="24">
        <f t="shared" si="1"/>
        <v>0</v>
      </c>
      <c r="X24" s="24"/>
      <c r="Y24" s="24">
        <f t="shared" si="0"/>
        <v>0</v>
      </c>
    </row>
    <row r="25" spans="1:25" ht="12.75" customHeight="1">
      <c r="A25" s="23" t="s">
        <v>24</v>
      </c>
      <c r="B25" s="23"/>
      <c r="C25" s="24">
        <v>4557057</v>
      </c>
      <c r="D25" s="24"/>
      <c r="E25" s="24">
        <v>17758185</v>
      </c>
      <c r="F25" s="24"/>
      <c r="G25" s="24">
        <v>1506660</v>
      </c>
      <c r="H25" s="24"/>
      <c r="I25" s="24">
        <f>1416942+2613777+829302+1267183+176588</f>
        <v>6303792</v>
      </c>
      <c r="J25" s="24"/>
      <c r="K25" s="24">
        <v>4320073</v>
      </c>
      <c r="L25" s="24"/>
      <c r="M25" s="24">
        <v>4148</v>
      </c>
      <c r="N25" s="24"/>
      <c r="O25" s="24">
        <v>3502986</v>
      </c>
      <c r="P25" s="24"/>
      <c r="Q25" s="24">
        <v>248228</v>
      </c>
      <c r="R25" s="24"/>
      <c r="S25" s="24">
        <v>618441</v>
      </c>
      <c r="T25" s="24"/>
      <c r="U25" s="24">
        <v>0</v>
      </c>
      <c r="V25" s="24"/>
      <c r="W25" s="24">
        <f t="shared" si="1"/>
        <v>14997668</v>
      </c>
      <c r="X25" s="24"/>
      <c r="Y25" s="24">
        <f t="shared" si="0"/>
        <v>38819570</v>
      </c>
    </row>
    <row r="26" spans="1:25" ht="12.75" customHeight="1">
      <c r="A26" s="23" t="s">
        <v>243</v>
      </c>
      <c r="B26" s="23"/>
      <c r="C26" s="24">
        <v>11962289</v>
      </c>
      <c r="D26" s="24"/>
      <c r="E26" s="24">
        <v>16827172</v>
      </c>
      <c r="F26" s="24"/>
      <c r="G26" s="24">
        <v>2727013</v>
      </c>
      <c r="H26" s="24"/>
      <c r="I26" s="24">
        <f>1209754+190382+549657+2590606+181706+509940+322743</f>
        <v>5554788</v>
      </c>
      <c r="J26" s="24"/>
      <c r="K26" s="24">
        <f>3042845+1366950+154355</f>
        <v>4564150</v>
      </c>
      <c r="L26" s="24"/>
      <c r="M26" s="24">
        <v>0</v>
      </c>
      <c r="N26" s="24"/>
      <c r="O26" s="24">
        <v>1745129</v>
      </c>
      <c r="P26" s="24"/>
      <c r="Q26" s="24">
        <v>330574</v>
      </c>
      <c r="R26" s="24"/>
      <c r="S26" s="24">
        <v>1427654</v>
      </c>
      <c r="T26" s="24"/>
      <c r="U26" s="24">
        <v>0</v>
      </c>
      <c r="V26" s="24"/>
      <c r="W26" s="24">
        <f t="shared" si="1"/>
        <v>13622295</v>
      </c>
      <c r="X26" s="24"/>
      <c r="Y26" s="24">
        <f t="shared" si="0"/>
        <v>45138769</v>
      </c>
    </row>
    <row r="27" spans="1:25" ht="12.75" customHeight="1">
      <c r="A27" s="23" t="s">
        <v>25</v>
      </c>
      <c r="B27" s="23"/>
      <c r="C27" s="24">
        <f>89235*1000</f>
        <v>89235000</v>
      </c>
      <c r="D27" s="24"/>
      <c r="E27" s="24">
        <f>602090*1000</f>
        <v>602090000</v>
      </c>
      <c r="F27" s="24"/>
      <c r="G27" s="24">
        <f>25574*1000</f>
        <v>25574000</v>
      </c>
      <c r="H27" s="24"/>
      <c r="I27" s="24">
        <f>358218*1000</f>
        <v>358218000</v>
      </c>
      <c r="J27" s="24"/>
      <c r="K27" s="24">
        <f>193692*1000</f>
        <v>193692000</v>
      </c>
      <c r="L27" s="24"/>
      <c r="M27" s="24">
        <f>33385*1000</f>
        <v>33385000</v>
      </c>
      <c r="N27" s="24"/>
      <c r="O27" s="24">
        <f>(32039+79220)*1000</f>
        <v>111259000</v>
      </c>
      <c r="P27" s="24"/>
      <c r="Q27" s="24">
        <f>12198*1000</f>
        <v>12198000</v>
      </c>
      <c r="R27" s="24"/>
      <c r="S27" s="24">
        <f>17005*1000</f>
        <v>17005000</v>
      </c>
      <c r="T27" s="24"/>
      <c r="U27" s="24">
        <f>-1338*1000</f>
        <v>-1338000</v>
      </c>
      <c r="V27" s="24"/>
      <c r="W27" s="24">
        <f t="shared" si="1"/>
        <v>724419000</v>
      </c>
      <c r="X27" s="24"/>
      <c r="Y27" s="24">
        <f t="shared" si="0"/>
        <v>1441318000</v>
      </c>
    </row>
    <row r="28" spans="1:25" ht="12.75" customHeight="1" hidden="1">
      <c r="A28" s="23" t="s">
        <v>26</v>
      </c>
      <c r="B28" s="23"/>
      <c r="C28" s="24">
        <v>0</v>
      </c>
      <c r="D28" s="24"/>
      <c r="E28" s="24">
        <v>0</v>
      </c>
      <c r="F28" s="24"/>
      <c r="G28" s="24">
        <v>0</v>
      </c>
      <c r="H28" s="24"/>
      <c r="I28" s="24">
        <v>0</v>
      </c>
      <c r="J28" s="24"/>
      <c r="K28" s="24">
        <v>0</v>
      </c>
      <c r="L28" s="24"/>
      <c r="M28" s="24">
        <v>0</v>
      </c>
      <c r="N28" s="24"/>
      <c r="O28" s="24">
        <v>0</v>
      </c>
      <c r="P28" s="24"/>
      <c r="Q28" s="24">
        <v>0</v>
      </c>
      <c r="R28" s="24"/>
      <c r="S28" s="24">
        <v>0</v>
      </c>
      <c r="T28" s="24"/>
      <c r="U28" s="24">
        <v>0</v>
      </c>
      <c r="V28" s="24"/>
      <c r="W28" s="24">
        <f t="shared" si="1"/>
        <v>0</v>
      </c>
      <c r="X28" s="24"/>
      <c r="Y28" s="24">
        <f t="shared" si="0"/>
        <v>0</v>
      </c>
    </row>
    <row r="29" spans="1:25" ht="12.75" customHeight="1">
      <c r="A29" s="23" t="s">
        <v>27</v>
      </c>
      <c r="B29" s="23"/>
      <c r="C29" s="24">
        <v>4137518</v>
      </c>
      <c r="D29" s="24"/>
      <c r="E29" s="24">
        <v>10967885</v>
      </c>
      <c r="F29" s="24"/>
      <c r="G29" s="24">
        <v>1231429</v>
      </c>
      <c r="H29" s="24"/>
      <c r="I29" s="24">
        <f>1693845+610800+1874785+629131</f>
        <v>4808561</v>
      </c>
      <c r="J29" s="24"/>
      <c r="K29" s="24">
        <f>4426384</f>
        <v>4426384</v>
      </c>
      <c r="L29" s="24"/>
      <c r="M29" s="24">
        <v>89373</v>
      </c>
      <c r="N29" s="24"/>
      <c r="O29" s="24">
        <v>2413069</v>
      </c>
      <c r="P29" s="24"/>
      <c r="Q29" s="24">
        <v>643974</v>
      </c>
      <c r="R29" s="24"/>
      <c r="S29" s="24">
        <v>1140267</v>
      </c>
      <c r="T29" s="24"/>
      <c r="U29" s="24">
        <v>-2427692</v>
      </c>
      <c r="V29" s="24"/>
      <c r="W29" s="24">
        <f t="shared" si="1"/>
        <v>11093936</v>
      </c>
      <c r="X29" s="24"/>
      <c r="Y29" s="24">
        <f aca="true" t="shared" si="2" ref="Y29:Y93">SUM(B29:V29)</f>
        <v>27430768</v>
      </c>
    </row>
    <row r="30" spans="1:25" ht="12.75" customHeight="1">
      <c r="A30" s="23" t="s">
        <v>28</v>
      </c>
      <c r="B30" s="23"/>
      <c r="C30" s="24">
        <v>20646654</v>
      </c>
      <c r="D30" s="24"/>
      <c r="E30" s="24">
        <v>23846740</v>
      </c>
      <c r="F30" s="24"/>
      <c r="G30" s="24">
        <v>5930837</v>
      </c>
      <c r="H30" s="24"/>
      <c r="I30" s="24">
        <f>10072289+2197272+11657042+786629+559559</f>
        <v>25272791</v>
      </c>
      <c r="J30" s="24"/>
      <c r="K30" s="24">
        <v>38193995</v>
      </c>
      <c r="L30" s="24"/>
      <c r="M30" s="24">
        <v>240937</v>
      </c>
      <c r="N30" s="24"/>
      <c r="O30" s="24">
        <v>4128424</v>
      </c>
      <c r="P30" s="24"/>
      <c r="Q30" s="24">
        <v>2343063</v>
      </c>
      <c r="R30" s="24"/>
      <c r="S30" s="24">
        <v>1327967</v>
      </c>
      <c r="T30" s="24"/>
      <c r="U30" s="24">
        <v>-50000</v>
      </c>
      <c r="V30" s="24"/>
      <c r="W30" s="24">
        <f t="shared" si="1"/>
        <v>71457177</v>
      </c>
      <c r="X30" s="24"/>
      <c r="Y30" s="24">
        <f t="shared" si="2"/>
        <v>121881408</v>
      </c>
    </row>
    <row r="31" spans="1:25" ht="12.75" customHeight="1">
      <c r="A31" s="23" t="s">
        <v>29</v>
      </c>
      <c r="B31" s="23"/>
      <c r="C31" s="24">
        <v>11828034</v>
      </c>
      <c r="D31" s="24"/>
      <c r="E31" s="24">
        <v>20112985</v>
      </c>
      <c r="F31" s="24"/>
      <c r="G31" s="24">
        <v>514605</v>
      </c>
      <c r="H31" s="24"/>
      <c r="I31" s="24">
        <f>4222751+4325874+831141</f>
        <v>9379766</v>
      </c>
      <c r="J31" s="24"/>
      <c r="K31" s="24">
        <v>12757185</v>
      </c>
      <c r="L31" s="24"/>
      <c r="M31" s="24">
        <v>1518696</v>
      </c>
      <c r="N31" s="24"/>
      <c r="O31" s="24">
        <v>3922025</v>
      </c>
      <c r="P31" s="24"/>
      <c r="Q31" s="24">
        <v>946058</v>
      </c>
      <c r="R31" s="24"/>
      <c r="S31" s="24">
        <v>1442077</v>
      </c>
      <c r="T31" s="24"/>
      <c r="U31" s="24">
        <v>10396</v>
      </c>
      <c r="V31" s="24"/>
      <c r="W31" s="24">
        <f t="shared" si="1"/>
        <v>29976203</v>
      </c>
      <c r="X31" s="24"/>
      <c r="Y31" s="24">
        <f t="shared" si="2"/>
        <v>62431827</v>
      </c>
    </row>
    <row r="32" spans="1:27" ht="12.75" customHeight="1">
      <c r="A32" s="23" t="s">
        <v>30</v>
      </c>
      <c r="B32" s="23"/>
      <c r="C32" s="24">
        <v>16238461</v>
      </c>
      <c r="D32" s="24"/>
      <c r="E32" s="24">
        <v>37609461</v>
      </c>
      <c r="F32" s="24"/>
      <c r="G32" s="24">
        <v>1926151</v>
      </c>
      <c r="H32" s="24"/>
      <c r="I32" s="24">
        <f>7488581+1230093+9606661+4622499</f>
        <v>22947834</v>
      </c>
      <c r="J32" s="24"/>
      <c r="K32" s="24">
        <f>16403143+1102603</f>
        <v>17505746</v>
      </c>
      <c r="L32" s="24"/>
      <c r="M32" s="24">
        <v>138741</v>
      </c>
      <c r="N32" s="24"/>
      <c r="O32" s="24">
        <f>3899214+715339</f>
        <v>4614553</v>
      </c>
      <c r="P32" s="24"/>
      <c r="Q32" s="24">
        <v>0</v>
      </c>
      <c r="R32" s="24"/>
      <c r="S32" s="24">
        <v>616545</v>
      </c>
      <c r="T32" s="24"/>
      <c r="U32" s="24">
        <v>0</v>
      </c>
      <c r="V32" s="24"/>
      <c r="W32" s="24">
        <f t="shared" si="1"/>
        <v>45823419</v>
      </c>
      <c r="X32" s="24"/>
      <c r="Y32" s="24">
        <f t="shared" si="2"/>
        <v>101597492</v>
      </c>
      <c r="AA32" s="39"/>
    </row>
    <row r="33" spans="1:25" ht="12.75" customHeight="1" hidden="1">
      <c r="A33" s="23" t="s">
        <v>239</v>
      </c>
      <c r="B33" s="23"/>
      <c r="C33" s="24">
        <v>0</v>
      </c>
      <c r="D33" s="24"/>
      <c r="E33" s="24">
        <v>0</v>
      </c>
      <c r="F33" s="24"/>
      <c r="G33" s="24">
        <v>0</v>
      </c>
      <c r="H33" s="24"/>
      <c r="I33" s="24">
        <v>0</v>
      </c>
      <c r="J33" s="24"/>
      <c r="K33" s="24"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v>0</v>
      </c>
      <c r="T33" s="24"/>
      <c r="U33" s="24">
        <v>0</v>
      </c>
      <c r="V33" s="24"/>
      <c r="W33" s="24">
        <f t="shared" si="1"/>
        <v>0</v>
      </c>
      <c r="X33" s="24"/>
      <c r="Y33" s="24">
        <f t="shared" si="2"/>
        <v>0</v>
      </c>
    </row>
    <row r="34" spans="1:25" ht="12.75" customHeight="1">
      <c r="A34" s="23" t="s">
        <v>32</v>
      </c>
      <c r="B34" s="23"/>
      <c r="C34" s="24">
        <f>122662*1000</f>
        <v>122662000</v>
      </c>
      <c r="D34" s="24"/>
      <c r="E34" s="24">
        <f>476313*1000</f>
        <v>476313000</v>
      </c>
      <c r="F34" s="24"/>
      <c r="G34" s="24">
        <f>16547*1000</f>
        <v>16547000</v>
      </c>
      <c r="H34" s="24"/>
      <c r="I34" s="24">
        <f>400475*1000</f>
        <v>400475000</v>
      </c>
      <c r="J34" s="24"/>
      <c r="K34" s="24">
        <f>130876*1000</f>
        <v>130876000</v>
      </c>
      <c r="L34" s="24"/>
      <c r="M34" s="24">
        <v>0</v>
      </c>
      <c r="N34" s="24"/>
      <c r="O34" s="24">
        <f>6035*1000</f>
        <v>6035000</v>
      </c>
      <c r="P34" s="24"/>
      <c r="Q34" s="24">
        <f>15695*1000</f>
        <v>15695000</v>
      </c>
      <c r="R34" s="24"/>
      <c r="S34" s="24">
        <v>0</v>
      </c>
      <c r="T34" s="24"/>
      <c r="U34" s="24">
        <v>0</v>
      </c>
      <c r="V34" s="24"/>
      <c r="W34" s="24">
        <f t="shared" si="1"/>
        <v>553081000</v>
      </c>
      <c r="X34" s="24"/>
      <c r="Y34" s="24">
        <f>SUM(B34:V34)</f>
        <v>1168603000</v>
      </c>
    </row>
    <row r="35" spans="1:25" ht="12.75" customHeight="1">
      <c r="A35" s="23" t="s">
        <v>33</v>
      </c>
      <c r="B35" s="23"/>
      <c r="C35" s="24">
        <v>5588170</v>
      </c>
      <c r="D35" s="24"/>
      <c r="E35" s="24">
        <v>11600584</v>
      </c>
      <c r="F35" s="24"/>
      <c r="G35" s="24">
        <v>2398540</v>
      </c>
      <c r="H35" s="24"/>
      <c r="I35" s="24">
        <f>1576412+2724916+791041+1261691+268005+526225</f>
        <v>7148290</v>
      </c>
      <c r="J35" s="24"/>
      <c r="K35" s="24">
        <v>6120809</v>
      </c>
      <c r="L35" s="24"/>
      <c r="M35" s="24">
        <v>0</v>
      </c>
      <c r="N35" s="24"/>
      <c r="O35" s="24">
        <v>3368506</v>
      </c>
      <c r="P35" s="24"/>
      <c r="Q35" s="24">
        <v>570981</v>
      </c>
      <c r="R35" s="24"/>
      <c r="S35" s="24">
        <v>1691617</v>
      </c>
      <c r="T35" s="24"/>
      <c r="U35" s="24">
        <v>-114531</v>
      </c>
      <c r="V35" s="24"/>
      <c r="W35" s="24">
        <f t="shared" si="1"/>
        <v>18785672</v>
      </c>
      <c r="X35" s="24"/>
      <c r="Y35" s="24">
        <f>SUM(B35:V35)</f>
        <v>38372966</v>
      </c>
    </row>
    <row r="36" spans="1:25" ht="12.75" customHeight="1">
      <c r="A36" s="23" t="s">
        <v>34</v>
      </c>
      <c r="B36" s="23"/>
      <c r="C36" s="24">
        <v>4853499</v>
      </c>
      <c r="D36" s="24"/>
      <c r="E36" s="24">
        <v>12396469</v>
      </c>
      <c r="F36" s="24"/>
      <c r="G36" s="24">
        <v>831479</v>
      </c>
      <c r="H36" s="24"/>
      <c r="I36" s="24">
        <f>2039614+939326</f>
        <v>2978940</v>
      </c>
      <c r="J36" s="24"/>
      <c r="K36" s="24">
        <f>3258247+814520</f>
        <v>4072767</v>
      </c>
      <c r="L36" s="24"/>
      <c r="M36" s="24">
        <v>0</v>
      </c>
      <c r="N36" s="24"/>
      <c r="O36" s="24">
        <v>1300057</v>
      </c>
      <c r="P36" s="24"/>
      <c r="Q36" s="24">
        <v>321253</v>
      </c>
      <c r="R36" s="24"/>
      <c r="S36" s="24">
        <v>518994</v>
      </c>
      <c r="T36" s="24"/>
      <c r="U36" s="24">
        <v>0</v>
      </c>
      <c r="V36" s="24"/>
      <c r="W36" s="24">
        <f t="shared" si="1"/>
        <v>9192011</v>
      </c>
      <c r="X36" s="24"/>
      <c r="Y36" s="24">
        <f t="shared" si="2"/>
        <v>27273458</v>
      </c>
    </row>
    <row r="37" spans="1:25" ht="12.75" customHeight="1">
      <c r="A37" s="23" t="s">
        <v>35</v>
      </c>
      <c r="B37" s="23"/>
      <c r="C37" s="24">
        <v>8304064</v>
      </c>
      <c r="D37" s="24"/>
      <c r="E37" s="24">
        <v>28981728</v>
      </c>
      <c r="F37" s="24"/>
      <c r="G37" s="24">
        <v>6828593</v>
      </c>
      <c r="H37" s="24"/>
      <c r="I37" s="24">
        <f>7617985+1744757+1684036+3223733+7939051+2721818</f>
        <v>24931380</v>
      </c>
      <c r="J37" s="24"/>
      <c r="K37" s="24">
        <f>10726010+579471</f>
        <v>11305481</v>
      </c>
      <c r="L37" s="24"/>
      <c r="M37" s="24">
        <v>0</v>
      </c>
      <c r="N37" s="24"/>
      <c r="O37" s="24">
        <v>2961133</v>
      </c>
      <c r="P37" s="24"/>
      <c r="Q37" s="24">
        <v>937259</v>
      </c>
      <c r="R37" s="24"/>
      <c r="S37" s="24">
        <v>2953712</v>
      </c>
      <c r="T37" s="24"/>
      <c r="U37" s="24">
        <v>-87750</v>
      </c>
      <c r="V37" s="24"/>
      <c r="W37" s="24">
        <f t="shared" si="1"/>
        <v>43001215</v>
      </c>
      <c r="X37" s="24"/>
      <c r="Y37" s="24">
        <f t="shared" si="2"/>
        <v>87115600</v>
      </c>
    </row>
    <row r="38" spans="1:25" ht="12.75" customHeight="1">
      <c r="A38" s="23" t="s">
        <v>182</v>
      </c>
      <c r="B38" s="23"/>
      <c r="C38" s="24">
        <v>19367912</v>
      </c>
      <c r="D38" s="24"/>
      <c r="E38" s="24">
        <v>36605600</v>
      </c>
      <c r="F38" s="24"/>
      <c r="G38" s="24">
        <v>795697</v>
      </c>
      <c r="H38" s="24"/>
      <c r="I38" s="24">
        <f>6380197+773571+3703899+5084830+10237552+2928690+3366905+2021278</f>
        <v>34496922</v>
      </c>
      <c r="J38" s="24"/>
      <c r="K38" s="24">
        <v>21090415</v>
      </c>
      <c r="L38" s="24"/>
      <c r="M38" s="24">
        <v>864158</v>
      </c>
      <c r="N38" s="24"/>
      <c r="O38" s="24">
        <v>4842994</v>
      </c>
      <c r="P38" s="24"/>
      <c r="Q38" s="24">
        <v>2298235</v>
      </c>
      <c r="R38" s="24"/>
      <c r="S38" s="24">
        <v>1846448</v>
      </c>
      <c r="T38" s="24"/>
      <c r="U38" s="24">
        <v>-89053</v>
      </c>
      <c r="V38" s="24"/>
      <c r="W38" s="24">
        <f t="shared" si="1"/>
        <v>65350119</v>
      </c>
      <c r="X38" s="24"/>
      <c r="Y38" s="24">
        <f t="shared" si="2"/>
        <v>122119328</v>
      </c>
    </row>
    <row r="39" spans="1:25" ht="12.75" customHeight="1" hidden="1">
      <c r="A39" s="23" t="s">
        <v>244</v>
      </c>
      <c r="B39" s="23"/>
      <c r="C39" s="24">
        <v>0</v>
      </c>
      <c r="D39" s="24"/>
      <c r="E39" s="24">
        <v>0</v>
      </c>
      <c r="F39" s="24"/>
      <c r="G39" s="24">
        <v>0</v>
      </c>
      <c r="H39" s="24"/>
      <c r="I39" s="24">
        <v>0</v>
      </c>
      <c r="J39" s="24"/>
      <c r="K39" s="24">
        <v>0</v>
      </c>
      <c r="L39" s="24"/>
      <c r="M39" s="24">
        <v>0</v>
      </c>
      <c r="N39" s="24"/>
      <c r="O39" s="24">
        <v>0</v>
      </c>
      <c r="P39" s="24"/>
      <c r="Q39" s="24">
        <v>0</v>
      </c>
      <c r="R39" s="24"/>
      <c r="S39" s="24">
        <v>0</v>
      </c>
      <c r="T39" s="24"/>
      <c r="U39" s="24">
        <v>0</v>
      </c>
      <c r="V39" s="24"/>
      <c r="W39" s="24">
        <f t="shared" si="1"/>
        <v>0</v>
      </c>
      <c r="X39" s="24"/>
      <c r="Y39" s="24">
        <f t="shared" si="2"/>
        <v>0</v>
      </c>
    </row>
    <row r="40" spans="1:25" ht="12.75" customHeight="1" hidden="1">
      <c r="A40" s="23" t="s">
        <v>37</v>
      </c>
      <c r="B40" s="23"/>
      <c r="C40" s="24">
        <v>0</v>
      </c>
      <c r="D40" s="24"/>
      <c r="E40" s="24">
        <v>0</v>
      </c>
      <c r="F40" s="24"/>
      <c r="G40" s="24">
        <v>0</v>
      </c>
      <c r="H40" s="24"/>
      <c r="I40" s="24">
        <v>0</v>
      </c>
      <c r="J40" s="24"/>
      <c r="K40" s="24">
        <v>0</v>
      </c>
      <c r="L40" s="24"/>
      <c r="M40" s="24">
        <v>0</v>
      </c>
      <c r="N40" s="24"/>
      <c r="O40" s="24">
        <v>0</v>
      </c>
      <c r="P40" s="24"/>
      <c r="Q40" s="24">
        <v>0</v>
      </c>
      <c r="R40" s="24"/>
      <c r="S40" s="24">
        <v>0</v>
      </c>
      <c r="T40" s="24"/>
      <c r="U40" s="24">
        <v>0</v>
      </c>
      <c r="V40" s="24"/>
      <c r="W40" s="24">
        <f t="shared" si="1"/>
        <v>0</v>
      </c>
      <c r="X40" s="24"/>
      <c r="Y40" s="24">
        <f t="shared" si="2"/>
        <v>0</v>
      </c>
    </row>
    <row r="41" spans="1:25" ht="12.75" customHeight="1">
      <c r="A41" s="23" t="s">
        <v>38</v>
      </c>
      <c r="B41" s="23"/>
      <c r="C41" s="24">
        <v>7619678</v>
      </c>
      <c r="D41" s="24"/>
      <c r="E41" s="24">
        <v>25176187</v>
      </c>
      <c r="F41" s="24"/>
      <c r="G41" s="24">
        <v>3083158</v>
      </c>
      <c r="H41" s="24"/>
      <c r="I41" s="24">
        <f>1778667+1693002+5529055+781384+282822</f>
        <v>10064930</v>
      </c>
      <c r="J41" s="24"/>
      <c r="K41" s="24">
        <v>11033040</v>
      </c>
      <c r="L41" s="24"/>
      <c r="M41" s="24">
        <v>1814383</v>
      </c>
      <c r="N41" s="24"/>
      <c r="O41" s="24">
        <v>2882342</v>
      </c>
      <c r="P41" s="24"/>
      <c r="Q41" s="24">
        <v>492360</v>
      </c>
      <c r="R41" s="24"/>
      <c r="S41" s="24">
        <v>288224</v>
      </c>
      <c r="T41" s="24"/>
      <c r="U41" s="24">
        <v>0</v>
      </c>
      <c r="V41" s="24"/>
      <c r="W41" s="24">
        <f t="shared" si="1"/>
        <v>26575279</v>
      </c>
      <c r="X41" s="24"/>
      <c r="Y41" s="24">
        <f t="shared" si="2"/>
        <v>62454302</v>
      </c>
    </row>
    <row r="42" spans="1:25" ht="12.75" customHeight="1" hidden="1">
      <c r="A42" s="23" t="s">
        <v>168</v>
      </c>
      <c r="B42" s="23"/>
      <c r="C42" s="24"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24"/>
      <c r="K42" s="24"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v>0</v>
      </c>
      <c r="T42" s="24"/>
      <c r="U42" s="24">
        <v>0</v>
      </c>
      <c r="V42" s="24"/>
      <c r="W42" s="24">
        <f t="shared" si="1"/>
        <v>0</v>
      </c>
      <c r="X42" s="24"/>
      <c r="Y42" s="24">
        <f t="shared" si="2"/>
        <v>0</v>
      </c>
    </row>
    <row r="43" spans="1:25" ht="12.75" customHeight="1" hidden="1">
      <c r="A43" s="23" t="s">
        <v>39</v>
      </c>
      <c r="B43" s="23"/>
      <c r="C43" s="24">
        <v>0</v>
      </c>
      <c r="D43" s="24"/>
      <c r="E43" s="24">
        <v>0</v>
      </c>
      <c r="F43" s="24"/>
      <c r="G43" s="24">
        <v>0</v>
      </c>
      <c r="H43" s="24"/>
      <c r="I43" s="24">
        <v>0</v>
      </c>
      <c r="J43" s="24"/>
      <c r="K43" s="24">
        <v>0</v>
      </c>
      <c r="L43" s="24"/>
      <c r="M43" s="24">
        <v>0</v>
      </c>
      <c r="N43" s="24"/>
      <c r="O43" s="24">
        <v>0</v>
      </c>
      <c r="P43" s="24"/>
      <c r="Q43" s="24">
        <v>0</v>
      </c>
      <c r="R43" s="24"/>
      <c r="S43" s="24">
        <v>0</v>
      </c>
      <c r="T43" s="24"/>
      <c r="U43" s="24">
        <v>0</v>
      </c>
      <c r="V43" s="24"/>
      <c r="W43" s="24">
        <f t="shared" si="1"/>
        <v>0</v>
      </c>
      <c r="X43" s="24"/>
      <c r="Y43" s="24">
        <f t="shared" si="2"/>
        <v>0</v>
      </c>
    </row>
    <row r="44" spans="1:25" ht="12.75" customHeight="1">
      <c r="A44" s="23" t="s">
        <v>40</v>
      </c>
      <c r="B44" s="23"/>
      <c r="C44" s="24">
        <v>3007690</v>
      </c>
      <c r="D44" s="24"/>
      <c r="E44" s="24">
        <v>12218590</v>
      </c>
      <c r="F44" s="24"/>
      <c r="G44" s="24">
        <v>541985</v>
      </c>
      <c r="H44" s="24"/>
      <c r="I44" s="24">
        <f>1645427+2823907+414301+858603</f>
        <v>5742238</v>
      </c>
      <c r="J44" s="24"/>
      <c r="K44" s="24">
        <v>3666293</v>
      </c>
      <c r="L44" s="24"/>
      <c r="M44" s="24">
        <v>0</v>
      </c>
      <c r="N44" s="24"/>
      <c r="O44" s="24">
        <v>2642120</v>
      </c>
      <c r="P44" s="24"/>
      <c r="Q44" s="24">
        <v>156813</v>
      </c>
      <c r="R44" s="24"/>
      <c r="S44" s="24">
        <v>827744</v>
      </c>
      <c r="T44" s="24"/>
      <c r="U44" s="24">
        <v>0</v>
      </c>
      <c r="V44" s="24"/>
      <c r="W44" s="24">
        <f t="shared" si="1"/>
        <v>13035208</v>
      </c>
      <c r="X44" s="24"/>
      <c r="Y44" s="24">
        <f t="shared" si="2"/>
        <v>28803473</v>
      </c>
    </row>
    <row r="45" spans="1:26" ht="12.75" customHeight="1" hidden="1">
      <c r="A45" s="23" t="s">
        <v>41</v>
      </c>
      <c r="B45" s="23"/>
      <c r="C45" s="24">
        <v>0</v>
      </c>
      <c r="D45" s="24"/>
      <c r="E45" s="24">
        <v>0</v>
      </c>
      <c r="F45" s="24"/>
      <c r="G45" s="24">
        <v>0</v>
      </c>
      <c r="H45" s="24"/>
      <c r="I45" s="24">
        <v>0</v>
      </c>
      <c r="J45" s="24"/>
      <c r="K45" s="24">
        <v>0</v>
      </c>
      <c r="L45" s="24"/>
      <c r="M45" s="24">
        <v>0</v>
      </c>
      <c r="N45" s="24"/>
      <c r="O45" s="24">
        <v>0</v>
      </c>
      <c r="P45" s="24"/>
      <c r="Q45" s="24">
        <v>0</v>
      </c>
      <c r="R45" s="24"/>
      <c r="S45" s="24">
        <v>0</v>
      </c>
      <c r="T45" s="24"/>
      <c r="U45" s="24">
        <v>0</v>
      </c>
      <c r="V45" s="24"/>
      <c r="W45" s="24">
        <f t="shared" si="1"/>
        <v>0</v>
      </c>
      <c r="X45" s="24"/>
      <c r="Y45" s="24">
        <f t="shared" si="2"/>
        <v>0</v>
      </c>
      <c r="Z45" s="39"/>
    </row>
    <row r="46" spans="1:25" ht="12.75" customHeight="1">
      <c r="A46" s="23" t="s">
        <v>42</v>
      </c>
      <c r="B46" s="23"/>
      <c r="C46" s="24">
        <v>2646293</v>
      </c>
      <c r="D46" s="146"/>
      <c r="E46" s="24">
        <v>12936157</v>
      </c>
      <c r="F46" s="146"/>
      <c r="G46" s="24">
        <v>114626</v>
      </c>
      <c r="H46" s="146"/>
      <c r="I46" s="24">
        <f>2101898+3895658</f>
        <v>5997556</v>
      </c>
      <c r="J46" s="146"/>
      <c r="K46" s="24">
        <f>2182961+549019</f>
        <v>2731980</v>
      </c>
      <c r="L46" s="146"/>
      <c r="M46" s="24">
        <v>0</v>
      </c>
      <c r="N46" s="146"/>
      <c r="O46" s="24">
        <v>886099</v>
      </c>
      <c r="P46" s="146"/>
      <c r="Q46" s="24">
        <v>460152</v>
      </c>
      <c r="R46" s="146"/>
      <c r="S46" s="24">
        <v>461986</v>
      </c>
      <c r="T46" s="146"/>
      <c r="U46" s="24">
        <v>0</v>
      </c>
      <c r="V46" s="146"/>
      <c r="W46" s="146">
        <f t="shared" si="1"/>
        <v>10537773</v>
      </c>
      <c r="X46" s="146"/>
      <c r="Y46" s="146">
        <f t="shared" si="2"/>
        <v>26234849</v>
      </c>
    </row>
    <row r="47" spans="1:25" ht="12.75" customHeight="1">
      <c r="A47" s="23" t="s">
        <v>43</v>
      </c>
      <c r="B47" s="23"/>
      <c r="C47" s="24">
        <v>5043812</v>
      </c>
      <c r="D47" s="146"/>
      <c r="E47" s="24">
        <v>10692829</v>
      </c>
      <c r="F47" s="146"/>
      <c r="G47" s="24">
        <v>1845553</v>
      </c>
      <c r="H47" s="146"/>
      <c r="I47" s="24">
        <f>2182845+2622951+830340</f>
        <v>5636136</v>
      </c>
      <c r="J47" s="146"/>
      <c r="K47" s="24">
        <v>4555354</v>
      </c>
      <c r="L47" s="146"/>
      <c r="M47" s="24">
        <v>0</v>
      </c>
      <c r="N47" s="146"/>
      <c r="O47" s="24">
        <v>1088168</v>
      </c>
      <c r="P47" s="146"/>
      <c r="Q47" s="24">
        <v>237029</v>
      </c>
      <c r="R47" s="146"/>
      <c r="S47" s="24">
        <v>86251</v>
      </c>
      <c r="T47" s="146"/>
      <c r="U47" s="24">
        <v>0</v>
      </c>
      <c r="V47" s="146"/>
      <c r="W47" s="146">
        <f t="shared" si="1"/>
        <v>11602938</v>
      </c>
      <c r="X47" s="146"/>
      <c r="Y47" s="146">
        <f t="shared" si="2"/>
        <v>29185132</v>
      </c>
    </row>
    <row r="48" spans="1:25" ht="12.75" customHeight="1" hidden="1">
      <c r="A48" s="23" t="s">
        <v>44</v>
      </c>
      <c r="B48" s="23"/>
      <c r="C48" s="24">
        <v>0</v>
      </c>
      <c r="D48" s="146"/>
      <c r="E48" s="24">
        <v>0</v>
      </c>
      <c r="F48" s="146"/>
      <c r="G48" s="24">
        <v>0</v>
      </c>
      <c r="H48" s="146"/>
      <c r="I48" s="24">
        <v>0</v>
      </c>
      <c r="J48" s="146"/>
      <c r="K48" s="24">
        <v>0</v>
      </c>
      <c r="L48" s="146"/>
      <c r="M48" s="24">
        <v>0</v>
      </c>
      <c r="N48" s="146"/>
      <c r="O48" s="24">
        <v>0</v>
      </c>
      <c r="P48" s="146"/>
      <c r="Q48" s="24">
        <v>0</v>
      </c>
      <c r="R48" s="146"/>
      <c r="S48" s="24">
        <v>0</v>
      </c>
      <c r="T48" s="146"/>
      <c r="U48" s="24">
        <v>0</v>
      </c>
      <c r="V48" s="146"/>
      <c r="W48" s="146">
        <f t="shared" si="1"/>
        <v>0</v>
      </c>
      <c r="X48" s="146"/>
      <c r="Y48" s="146">
        <f t="shared" si="2"/>
        <v>0</v>
      </c>
    </row>
    <row r="49" spans="1:25" ht="12.75" customHeight="1" hidden="1">
      <c r="A49" s="23" t="s">
        <v>241</v>
      </c>
      <c r="B49" s="23"/>
      <c r="C49" s="24">
        <v>0</v>
      </c>
      <c r="D49" s="146"/>
      <c r="E49" s="24">
        <v>0</v>
      </c>
      <c r="F49" s="146"/>
      <c r="G49" s="24">
        <v>0</v>
      </c>
      <c r="H49" s="146"/>
      <c r="I49" s="24">
        <v>0</v>
      </c>
      <c r="J49" s="146"/>
      <c r="K49" s="24">
        <v>0</v>
      </c>
      <c r="L49" s="146"/>
      <c r="M49" s="24">
        <v>0</v>
      </c>
      <c r="N49" s="146"/>
      <c r="O49" s="24">
        <v>0</v>
      </c>
      <c r="P49" s="146"/>
      <c r="Q49" s="24">
        <v>0</v>
      </c>
      <c r="R49" s="146"/>
      <c r="S49" s="24">
        <v>0</v>
      </c>
      <c r="T49" s="146"/>
      <c r="U49" s="24">
        <v>0</v>
      </c>
      <c r="V49" s="146"/>
      <c r="W49" s="146">
        <f t="shared" si="1"/>
        <v>0</v>
      </c>
      <c r="X49" s="146"/>
      <c r="Y49" s="146">
        <f t="shared" si="2"/>
        <v>0</v>
      </c>
    </row>
    <row r="50" spans="1:25" ht="12.75" customHeight="1">
      <c r="A50" s="23" t="s">
        <v>46</v>
      </c>
      <c r="B50" s="23"/>
      <c r="C50" s="24">
        <v>7977537</v>
      </c>
      <c r="D50" s="146"/>
      <c r="E50" s="24">
        <v>35004090</v>
      </c>
      <c r="F50" s="146"/>
      <c r="G50" s="24">
        <v>2424839</v>
      </c>
      <c r="H50" s="146"/>
      <c r="I50" s="24">
        <f>1854029+270636+2362308+1034077+1158994+662128+940757+1114095</f>
        <v>9397024</v>
      </c>
      <c r="J50" s="146"/>
      <c r="K50" s="24">
        <f>4479585+2682052+1271854+1101253</f>
        <v>9534744</v>
      </c>
      <c r="L50" s="146"/>
      <c r="M50" s="24">
        <v>0</v>
      </c>
      <c r="N50" s="146"/>
      <c r="O50" s="24">
        <v>2562048</v>
      </c>
      <c r="P50" s="146"/>
      <c r="Q50" s="24">
        <v>327912</v>
      </c>
      <c r="R50" s="146"/>
      <c r="S50" s="24">
        <v>508317</v>
      </c>
      <c r="T50" s="146"/>
      <c r="U50" s="24">
        <v>0</v>
      </c>
      <c r="V50" s="146"/>
      <c r="W50" s="146">
        <f t="shared" si="1"/>
        <v>22330045</v>
      </c>
      <c r="X50" s="146"/>
      <c r="Y50" s="146">
        <f t="shared" si="2"/>
        <v>67736511</v>
      </c>
    </row>
    <row r="51" spans="1:25" ht="12.75" customHeight="1">
      <c r="A51" s="23" t="s">
        <v>47</v>
      </c>
      <c r="B51" s="23"/>
      <c r="C51" s="24">
        <v>3979383</v>
      </c>
      <c r="D51" s="146"/>
      <c r="E51" s="24">
        <v>13682020</v>
      </c>
      <c r="F51" s="146"/>
      <c r="G51" s="24">
        <v>3273856</v>
      </c>
      <c r="H51" s="146"/>
      <c r="I51" s="24">
        <f>3810053+6350981</f>
        <v>10161034</v>
      </c>
      <c r="J51" s="146"/>
      <c r="K51" s="24">
        <v>5726806</v>
      </c>
      <c r="L51" s="146"/>
      <c r="M51" s="24">
        <v>0</v>
      </c>
      <c r="N51" s="146"/>
      <c r="O51" s="24">
        <v>3175551</v>
      </c>
      <c r="P51" s="146"/>
      <c r="Q51" s="24">
        <v>150227</v>
      </c>
      <c r="R51" s="146"/>
      <c r="S51" s="24">
        <v>2106347</v>
      </c>
      <c r="T51" s="146"/>
      <c r="U51" s="24">
        <v>-69216</v>
      </c>
      <c r="V51" s="146"/>
      <c r="W51" s="146">
        <f t="shared" si="1"/>
        <v>21250749</v>
      </c>
      <c r="X51" s="146"/>
      <c r="Y51" s="146">
        <f t="shared" si="2"/>
        <v>42186008</v>
      </c>
    </row>
    <row r="52" spans="1:25" ht="12.75" customHeight="1">
      <c r="A52" s="23" t="s">
        <v>48</v>
      </c>
      <c r="B52" s="23"/>
      <c r="C52" s="24">
        <v>20033464</v>
      </c>
      <c r="D52" s="146"/>
      <c r="E52" s="24">
        <v>70340808</v>
      </c>
      <c r="F52" s="146"/>
      <c r="G52" s="24">
        <v>11365649</v>
      </c>
      <c r="H52" s="146"/>
      <c r="I52" s="24">
        <f>11871168+18811846+8912693+3075150+1083708+1322659+2248827</f>
        <v>47326051</v>
      </c>
      <c r="J52" s="146"/>
      <c r="K52" s="24">
        <v>14692338</v>
      </c>
      <c r="L52" s="146"/>
      <c r="M52" s="24">
        <f>1997375+662392</f>
        <v>2659767</v>
      </c>
      <c r="N52" s="146"/>
      <c r="O52" s="24">
        <v>3883648</v>
      </c>
      <c r="P52" s="146"/>
      <c r="Q52" s="24">
        <v>1881176</v>
      </c>
      <c r="R52" s="146"/>
      <c r="S52" s="24">
        <v>9261515</v>
      </c>
      <c r="T52" s="146"/>
      <c r="U52" s="24">
        <v>50000</v>
      </c>
      <c r="V52" s="146"/>
      <c r="W52" s="146">
        <f t="shared" si="1"/>
        <v>79754495</v>
      </c>
      <c r="X52" s="146"/>
      <c r="Y52" s="146">
        <f t="shared" si="2"/>
        <v>181494416</v>
      </c>
    </row>
    <row r="53" spans="1:25" ht="12.75" customHeight="1" hidden="1">
      <c r="A53" s="23" t="s">
        <v>170</v>
      </c>
      <c r="B53" s="23"/>
      <c r="C53" s="24">
        <v>0</v>
      </c>
      <c r="D53" s="146"/>
      <c r="E53" s="24">
        <v>0</v>
      </c>
      <c r="F53" s="146"/>
      <c r="G53" s="24">
        <v>0</v>
      </c>
      <c r="H53" s="146"/>
      <c r="I53" s="24">
        <v>0</v>
      </c>
      <c r="J53" s="146"/>
      <c r="K53" s="24">
        <v>0</v>
      </c>
      <c r="L53" s="146"/>
      <c r="M53" s="24">
        <v>0</v>
      </c>
      <c r="N53" s="146"/>
      <c r="O53" s="24">
        <v>0</v>
      </c>
      <c r="P53" s="146"/>
      <c r="Q53" s="24">
        <v>0</v>
      </c>
      <c r="R53" s="146"/>
      <c r="S53" s="24">
        <v>0</v>
      </c>
      <c r="T53" s="146"/>
      <c r="U53" s="24">
        <v>0</v>
      </c>
      <c r="V53" s="146"/>
      <c r="W53" s="146">
        <f t="shared" si="1"/>
        <v>0</v>
      </c>
      <c r="X53" s="146"/>
      <c r="Y53" s="146">
        <f t="shared" si="2"/>
        <v>0</v>
      </c>
    </row>
    <row r="54" spans="1:25" ht="12.75" customHeight="1">
      <c r="A54" s="23" t="s">
        <v>49</v>
      </c>
      <c r="B54" s="23"/>
      <c r="C54" s="24">
        <v>12166231</v>
      </c>
      <c r="D54" s="146"/>
      <c r="E54" s="24">
        <v>32858806</v>
      </c>
      <c r="F54" s="146"/>
      <c r="G54" s="24">
        <v>2529889</v>
      </c>
      <c r="H54" s="146"/>
      <c r="I54" s="24">
        <f>6698113+14660259</f>
        <v>21358372</v>
      </c>
      <c r="J54" s="146"/>
      <c r="K54" s="24">
        <v>23619086</v>
      </c>
      <c r="L54" s="146"/>
      <c r="M54" s="24">
        <v>0</v>
      </c>
      <c r="N54" s="146"/>
      <c r="O54" s="24">
        <v>7242261</v>
      </c>
      <c r="P54" s="146"/>
      <c r="Q54" s="24">
        <v>683859</v>
      </c>
      <c r="R54" s="146"/>
      <c r="S54" s="24">
        <v>3525105</v>
      </c>
      <c r="T54" s="146"/>
      <c r="U54" s="24">
        <v>-332628</v>
      </c>
      <c r="V54" s="146"/>
      <c r="W54" s="146">
        <f t="shared" si="1"/>
        <v>56096055</v>
      </c>
      <c r="X54" s="146"/>
      <c r="Y54" s="146">
        <f t="shared" si="2"/>
        <v>103650981</v>
      </c>
    </row>
    <row r="55" spans="1:25" ht="12.75" customHeight="1">
      <c r="A55" s="23" t="s">
        <v>50</v>
      </c>
      <c r="B55" s="23"/>
      <c r="C55" s="24">
        <v>3520614</v>
      </c>
      <c r="D55" s="146"/>
      <c r="E55" s="24">
        <v>8396099</v>
      </c>
      <c r="F55" s="146"/>
      <c r="G55" s="24">
        <v>3437620</v>
      </c>
      <c r="H55" s="146"/>
      <c r="I55" s="24">
        <v>15428557</v>
      </c>
      <c r="J55" s="146"/>
      <c r="K55" s="24">
        <v>0</v>
      </c>
      <c r="L55" s="146"/>
      <c r="M55" s="24">
        <v>0</v>
      </c>
      <c r="N55" s="146"/>
      <c r="O55" s="24">
        <v>3223316</v>
      </c>
      <c r="P55" s="146"/>
      <c r="Q55" s="24">
        <v>448211</v>
      </c>
      <c r="R55" s="146"/>
      <c r="S55" s="24">
        <f>2595803-80838+297541</f>
        <v>2812506</v>
      </c>
      <c r="T55" s="146"/>
      <c r="U55" s="24">
        <v>-54796</v>
      </c>
      <c r="V55" s="146"/>
      <c r="W55" s="146">
        <f>SUM(I55:U55)</f>
        <v>21857794</v>
      </c>
      <c r="X55" s="146"/>
      <c r="Y55" s="146">
        <f t="shared" si="2"/>
        <v>37212127</v>
      </c>
    </row>
    <row r="56" spans="1:25" ht="12.75" customHeight="1">
      <c r="A56" s="23" t="s">
        <v>246</v>
      </c>
      <c r="B56" s="23"/>
      <c r="C56" s="24">
        <v>413666059</v>
      </c>
      <c r="D56" s="146"/>
      <c r="E56" s="24">
        <v>83042736</v>
      </c>
      <c r="F56" s="146"/>
      <c r="G56" s="24">
        <v>11305406</v>
      </c>
      <c r="H56" s="146"/>
      <c r="I56" s="24">
        <v>44989392</v>
      </c>
      <c r="J56" s="146"/>
      <c r="K56" s="24">
        <v>26902969</v>
      </c>
      <c r="L56" s="146"/>
      <c r="M56" s="24">
        <v>0</v>
      </c>
      <c r="N56" s="146"/>
      <c r="O56" s="24">
        <v>16197866</v>
      </c>
      <c r="P56" s="146"/>
      <c r="Q56" s="24">
        <v>2078700</v>
      </c>
      <c r="R56" s="146"/>
      <c r="S56" s="24">
        <v>3022217</v>
      </c>
      <c r="T56" s="146"/>
      <c r="U56" s="24">
        <v>900000</v>
      </c>
      <c r="V56" s="146"/>
      <c r="W56" s="146">
        <f t="shared" si="1"/>
        <v>94091144</v>
      </c>
      <c r="X56" s="146"/>
      <c r="Y56" s="146">
        <f t="shared" si="2"/>
        <v>602105345</v>
      </c>
    </row>
    <row r="57" spans="1:25" ht="12.75" customHeight="1">
      <c r="A57" s="23" t="s">
        <v>188</v>
      </c>
      <c r="B57" s="23"/>
      <c r="C57" s="24">
        <v>40509871</v>
      </c>
      <c r="D57" s="146"/>
      <c r="E57" s="24">
        <v>222284059</v>
      </c>
      <c r="F57" s="146"/>
      <c r="G57" s="24">
        <v>6362043</v>
      </c>
      <c r="H57" s="146"/>
      <c r="I57" s="24">
        <v>92211038</v>
      </c>
      <c r="J57" s="146"/>
      <c r="K57" s="24">
        <v>68196018</v>
      </c>
      <c r="L57" s="146"/>
      <c r="M57" s="24">
        <v>4486693</v>
      </c>
      <c r="N57" s="146"/>
      <c r="O57" s="24">
        <v>26653179</v>
      </c>
      <c r="P57" s="146"/>
      <c r="Q57" s="24">
        <v>4957751</v>
      </c>
      <c r="R57" s="146"/>
      <c r="S57" s="24">
        <v>27986962</v>
      </c>
      <c r="T57" s="146"/>
      <c r="U57" s="24">
        <v>0</v>
      </c>
      <c r="V57" s="146"/>
      <c r="W57" s="146">
        <f t="shared" si="1"/>
        <v>224491641</v>
      </c>
      <c r="X57" s="146"/>
      <c r="Y57" s="146">
        <f t="shared" si="2"/>
        <v>493647614</v>
      </c>
    </row>
    <row r="58" spans="1:25" ht="12.75" customHeight="1" hidden="1">
      <c r="A58" s="23" t="s">
        <v>52</v>
      </c>
      <c r="B58" s="23"/>
      <c r="C58" s="24">
        <v>0</v>
      </c>
      <c r="D58" s="146"/>
      <c r="E58" s="24">
        <v>0</v>
      </c>
      <c r="F58" s="146"/>
      <c r="G58" s="24">
        <v>0</v>
      </c>
      <c r="H58" s="146"/>
      <c r="I58" s="24">
        <v>0</v>
      </c>
      <c r="J58" s="146"/>
      <c r="K58" s="24">
        <v>0</v>
      </c>
      <c r="L58" s="146"/>
      <c r="M58" s="24">
        <v>0</v>
      </c>
      <c r="N58" s="146"/>
      <c r="O58" s="24">
        <v>0</v>
      </c>
      <c r="P58" s="146"/>
      <c r="Q58" s="24">
        <v>0</v>
      </c>
      <c r="R58" s="146"/>
      <c r="S58" s="24">
        <v>0</v>
      </c>
      <c r="T58" s="146"/>
      <c r="U58" s="24">
        <v>0</v>
      </c>
      <c r="V58" s="146"/>
      <c r="W58" s="146">
        <f t="shared" si="1"/>
        <v>0</v>
      </c>
      <c r="X58" s="146"/>
      <c r="Y58" s="146">
        <f t="shared" si="2"/>
        <v>0</v>
      </c>
    </row>
    <row r="59" spans="1:25" ht="12.75" customHeight="1">
      <c r="A59" s="23" t="s">
        <v>53</v>
      </c>
      <c r="B59" s="23"/>
      <c r="C59" s="24">
        <v>23060573</v>
      </c>
      <c r="D59" s="146"/>
      <c r="E59" s="24">
        <v>86406523</v>
      </c>
      <c r="F59" s="146"/>
      <c r="G59" s="24">
        <v>3056458</v>
      </c>
      <c r="H59" s="146"/>
      <c r="I59" s="24">
        <f>7546732+4911419+13859914+3467814</f>
        <v>29785879</v>
      </c>
      <c r="J59" s="146"/>
      <c r="K59" s="24">
        <v>27168574</v>
      </c>
      <c r="L59" s="146"/>
      <c r="M59" s="24">
        <v>0</v>
      </c>
      <c r="N59" s="146"/>
      <c r="O59" s="24">
        <v>9601640</v>
      </c>
      <c r="P59" s="146"/>
      <c r="Q59" s="24">
        <v>905562</v>
      </c>
      <c r="R59" s="146"/>
      <c r="S59" s="24">
        <f>1305659+4385541+3078</f>
        <v>5694278</v>
      </c>
      <c r="T59" s="146"/>
      <c r="U59" s="24">
        <v>0</v>
      </c>
      <c r="V59" s="146"/>
      <c r="W59" s="146">
        <f t="shared" si="1"/>
        <v>73155933</v>
      </c>
      <c r="X59" s="146"/>
      <c r="Y59" s="146">
        <f t="shared" si="2"/>
        <v>185679487</v>
      </c>
    </row>
    <row r="60" spans="1:25" ht="12.75" customHeight="1">
      <c r="A60" s="23" t="s">
        <v>54</v>
      </c>
      <c r="B60" s="23"/>
      <c r="C60" s="24">
        <v>5269353</v>
      </c>
      <c r="D60" s="146"/>
      <c r="E60" s="24">
        <v>18721850</v>
      </c>
      <c r="F60" s="146"/>
      <c r="G60" s="24">
        <v>8510728</v>
      </c>
      <c r="H60" s="146"/>
      <c r="I60" s="24">
        <f>2092921+813738+2477588+258769+1059977+650918</f>
        <v>7353911</v>
      </c>
      <c r="J60" s="146"/>
      <c r="K60" s="24">
        <v>6511622</v>
      </c>
      <c r="L60" s="146"/>
      <c r="M60" s="24">
        <v>387965</v>
      </c>
      <c r="N60" s="146"/>
      <c r="O60" s="24">
        <v>1830628</v>
      </c>
      <c r="P60" s="146"/>
      <c r="Q60" s="24">
        <v>353724</v>
      </c>
      <c r="R60" s="146"/>
      <c r="S60" s="24">
        <v>2252848</v>
      </c>
      <c r="T60" s="146"/>
      <c r="U60" s="24">
        <v>0</v>
      </c>
      <c r="V60" s="146"/>
      <c r="W60" s="146">
        <f t="shared" si="1"/>
        <v>18690698</v>
      </c>
      <c r="X60" s="146"/>
      <c r="Y60" s="146">
        <f t="shared" si="2"/>
        <v>51192629</v>
      </c>
    </row>
    <row r="61" spans="1:25" ht="12.75" customHeight="1">
      <c r="A61" s="23" t="s">
        <v>55</v>
      </c>
      <c r="B61" s="23"/>
      <c r="C61" s="24">
        <v>16565307</v>
      </c>
      <c r="D61" s="146"/>
      <c r="E61" s="24">
        <v>34872838</v>
      </c>
      <c r="F61" s="146"/>
      <c r="G61" s="24">
        <v>1774421</v>
      </c>
      <c r="H61" s="146"/>
      <c r="I61" s="24">
        <f>10793206+671082+11304090+816177+461973+1446450</f>
        <v>25492978</v>
      </c>
      <c r="J61" s="146"/>
      <c r="K61" s="24">
        <f>9318695+11367+9358492</f>
        <v>18688554</v>
      </c>
      <c r="L61" s="146"/>
      <c r="M61" s="24">
        <v>0</v>
      </c>
      <c r="N61" s="146"/>
      <c r="O61" s="24">
        <v>5369766</v>
      </c>
      <c r="P61" s="146"/>
      <c r="Q61" s="24">
        <v>1406206</v>
      </c>
      <c r="R61" s="146"/>
      <c r="S61" s="24">
        <v>2399122</v>
      </c>
      <c r="T61" s="146"/>
      <c r="U61" s="24">
        <v>1413932</v>
      </c>
      <c r="V61" s="146"/>
      <c r="W61" s="146">
        <f t="shared" si="1"/>
        <v>54770558</v>
      </c>
      <c r="X61" s="146"/>
      <c r="Y61" s="146">
        <f t="shared" si="2"/>
        <v>107983124</v>
      </c>
    </row>
    <row r="62" spans="1:25" ht="12.75" customHeight="1" hidden="1">
      <c r="A62" s="23" t="s">
        <v>171</v>
      </c>
      <c r="B62" s="23"/>
      <c r="C62" s="24">
        <v>0</v>
      </c>
      <c r="D62" s="146"/>
      <c r="E62" s="24">
        <v>0</v>
      </c>
      <c r="F62" s="146"/>
      <c r="G62" s="24">
        <v>0</v>
      </c>
      <c r="H62" s="146"/>
      <c r="I62" s="24">
        <v>0</v>
      </c>
      <c r="J62" s="146"/>
      <c r="K62" s="24">
        <v>0</v>
      </c>
      <c r="L62" s="146"/>
      <c r="M62" s="24">
        <v>0</v>
      </c>
      <c r="N62" s="146"/>
      <c r="O62" s="24">
        <v>0</v>
      </c>
      <c r="P62" s="146"/>
      <c r="Q62" s="24">
        <v>0</v>
      </c>
      <c r="R62" s="146"/>
      <c r="S62" s="24">
        <v>0</v>
      </c>
      <c r="T62" s="146"/>
      <c r="U62" s="24">
        <v>0</v>
      </c>
      <c r="V62" s="146"/>
      <c r="W62" s="146">
        <f t="shared" si="1"/>
        <v>0</v>
      </c>
      <c r="X62" s="146"/>
      <c r="Y62" s="146">
        <f t="shared" si="2"/>
        <v>0</v>
      </c>
    </row>
    <row r="63" spans="1:25" ht="12.75" customHeight="1" hidden="1">
      <c r="A63" s="23" t="s">
        <v>56</v>
      </c>
      <c r="B63" s="23"/>
      <c r="C63" s="24">
        <v>0</v>
      </c>
      <c r="D63" s="146"/>
      <c r="E63" s="24">
        <v>0</v>
      </c>
      <c r="F63" s="146"/>
      <c r="G63" s="24">
        <v>0</v>
      </c>
      <c r="H63" s="146"/>
      <c r="I63" s="24">
        <v>0</v>
      </c>
      <c r="J63" s="146"/>
      <c r="K63" s="24">
        <v>0</v>
      </c>
      <c r="L63" s="146"/>
      <c r="M63" s="24">
        <v>0</v>
      </c>
      <c r="N63" s="146"/>
      <c r="O63" s="24">
        <v>0</v>
      </c>
      <c r="P63" s="146"/>
      <c r="Q63" s="24">
        <v>0</v>
      </c>
      <c r="R63" s="146"/>
      <c r="S63" s="24">
        <v>0</v>
      </c>
      <c r="T63" s="146"/>
      <c r="U63" s="24">
        <v>0</v>
      </c>
      <c r="V63" s="146"/>
      <c r="W63" s="146">
        <f t="shared" si="1"/>
        <v>0</v>
      </c>
      <c r="X63" s="146"/>
      <c r="Y63" s="146">
        <f t="shared" si="2"/>
        <v>0</v>
      </c>
    </row>
    <row r="64" spans="1:25" ht="12.75" customHeight="1">
      <c r="A64" s="23" t="s">
        <v>57</v>
      </c>
      <c r="B64" s="23"/>
      <c r="C64" s="24">
        <v>17641367</v>
      </c>
      <c r="D64" s="146"/>
      <c r="E64" s="24">
        <v>15142033</v>
      </c>
      <c r="F64" s="146"/>
      <c r="G64" s="24">
        <v>6327060</v>
      </c>
      <c r="H64" s="146"/>
      <c r="I64" s="24">
        <v>11660153</v>
      </c>
      <c r="J64" s="146"/>
      <c r="K64" s="24">
        <v>13068296</v>
      </c>
      <c r="L64" s="146"/>
      <c r="M64" s="24">
        <v>0</v>
      </c>
      <c r="N64" s="146"/>
      <c r="O64" s="24">
        <v>5582505</v>
      </c>
      <c r="P64" s="146"/>
      <c r="Q64" s="24">
        <v>399929</v>
      </c>
      <c r="R64" s="146"/>
      <c r="S64" s="24">
        <v>657784</v>
      </c>
      <c r="T64" s="146"/>
      <c r="U64" s="24">
        <v>0</v>
      </c>
      <c r="V64" s="146"/>
      <c r="W64" s="146">
        <f t="shared" si="1"/>
        <v>31368667</v>
      </c>
      <c r="X64" s="146"/>
      <c r="Y64" s="146">
        <f t="shared" si="2"/>
        <v>70479127</v>
      </c>
    </row>
    <row r="65" spans="1:25" ht="12.75" customHeight="1">
      <c r="A65" s="23" t="s">
        <v>58</v>
      </c>
      <c r="B65" s="23"/>
      <c r="C65" s="24">
        <v>2259417</v>
      </c>
      <c r="D65" s="146"/>
      <c r="E65" s="24">
        <v>8725211</v>
      </c>
      <c r="F65" s="146"/>
      <c r="G65" s="24">
        <v>1256374</v>
      </c>
      <c r="H65" s="146"/>
      <c r="I65" s="24">
        <f>761827+668054</f>
        <v>1429881</v>
      </c>
      <c r="J65" s="146"/>
      <c r="K65" s="24">
        <v>1482300</v>
      </c>
      <c r="L65" s="146"/>
      <c r="M65" s="24">
        <v>0</v>
      </c>
      <c r="N65" s="146"/>
      <c r="O65" s="24">
        <v>532019</v>
      </c>
      <c r="P65" s="146"/>
      <c r="Q65" s="24">
        <v>215043</v>
      </c>
      <c r="R65" s="146"/>
      <c r="S65" s="24">
        <v>236193</v>
      </c>
      <c r="T65" s="146"/>
      <c r="U65" s="24">
        <v>0</v>
      </c>
      <c r="V65" s="146"/>
      <c r="W65" s="146">
        <f t="shared" si="1"/>
        <v>3895436</v>
      </c>
      <c r="X65" s="146"/>
      <c r="Y65" s="146">
        <f t="shared" si="2"/>
        <v>16136438</v>
      </c>
    </row>
    <row r="66" spans="1:25" ht="12.75" customHeight="1">
      <c r="A66" s="23" t="s">
        <v>59</v>
      </c>
      <c r="B66" s="23"/>
      <c r="C66" s="24">
        <v>68548284</v>
      </c>
      <c r="D66" s="24"/>
      <c r="E66" s="24">
        <v>225154922</v>
      </c>
      <c r="F66" s="24"/>
      <c r="G66" s="24">
        <v>10497929</v>
      </c>
      <c r="H66" s="24"/>
      <c r="I66" s="24">
        <f>16139827+2948209+111615319</f>
        <v>130703355</v>
      </c>
      <c r="J66" s="24"/>
      <c r="K66" s="24">
        <v>61439062</v>
      </c>
      <c r="L66" s="24"/>
      <c r="M66" s="24">
        <f>2139472+2073533+4182649</f>
        <v>8395654</v>
      </c>
      <c r="N66" s="24"/>
      <c r="O66" s="24">
        <f>22215732</f>
        <v>22215732</v>
      </c>
      <c r="P66" s="24"/>
      <c r="Q66" s="24">
        <v>8770936</v>
      </c>
      <c r="R66" s="24"/>
      <c r="S66" s="24">
        <f>122510+5158664</f>
        <v>5281174</v>
      </c>
      <c r="T66" s="24"/>
      <c r="U66" s="24">
        <v>-3573588</v>
      </c>
      <c r="V66" s="24"/>
      <c r="W66" s="24">
        <f t="shared" si="1"/>
        <v>233232325</v>
      </c>
      <c r="X66" s="24"/>
      <c r="Y66" s="24">
        <f t="shared" si="2"/>
        <v>537433460</v>
      </c>
    </row>
    <row r="67" spans="1:25" ht="12.75" customHeight="1" hidden="1">
      <c r="A67" s="23" t="s">
        <v>60</v>
      </c>
      <c r="B67" s="23"/>
      <c r="C67" s="24">
        <v>0</v>
      </c>
      <c r="D67" s="24"/>
      <c r="E67" s="24">
        <v>0</v>
      </c>
      <c r="F67" s="24"/>
      <c r="G67" s="24">
        <v>0</v>
      </c>
      <c r="H67" s="24"/>
      <c r="I67" s="24">
        <v>0</v>
      </c>
      <c r="J67" s="24"/>
      <c r="K67" s="24">
        <v>0</v>
      </c>
      <c r="L67" s="24"/>
      <c r="M67" s="24">
        <v>0</v>
      </c>
      <c r="N67" s="24"/>
      <c r="O67" s="24">
        <v>0</v>
      </c>
      <c r="P67" s="24"/>
      <c r="Q67" s="24">
        <v>0</v>
      </c>
      <c r="R67" s="24"/>
      <c r="S67" s="24">
        <v>0</v>
      </c>
      <c r="T67" s="24"/>
      <c r="U67" s="24">
        <v>0</v>
      </c>
      <c r="V67" s="24"/>
      <c r="W67" s="24">
        <f t="shared" si="1"/>
        <v>0</v>
      </c>
      <c r="X67" s="24"/>
      <c r="Y67" s="24">
        <f t="shared" si="2"/>
        <v>0</v>
      </c>
    </row>
    <row r="68" spans="1:25" ht="12.75" customHeight="1">
      <c r="A68" s="23" t="s">
        <v>97</v>
      </c>
      <c r="B68" s="23"/>
      <c r="C68" s="24">
        <v>2889155</v>
      </c>
      <c r="D68" s="24"/>
      <c r="E68" s="24">
        <v>13848507</v>
      </c>
      <c r="F68" s="24"/>
      <c r="G68" s="24">
        <v>500057</v>
      </c>
      <c r="H68" s="24"/>
      <c r="I68" s="24">
        <f>2235292+1918459</f>
        <v>4153751</v>
      </c>
      <c r="J68" s="24"/>
      <c r="K68" s="24">
        <v>2692984</v>
      </c>
      <c r="L68" s="24"/>
      <c r="M68" s="24">
        <v>0</v>
      </c>
      <c r="N68" s="24"/>
      <c r="O68" s="24">
        <v>2464970</v>
      </c>
      <c r="P68" s="24"/>
      <c r="Q68" s="24">
        <v>123359</v>
      </c>
      <c r="R68" s="24"/>
      <c r="S68" s="24">
        <v>1298358</v>
      </c>
      <c r="T68" s="24"/>
      <c r="U68" s="24">
        <v>0</v>
      </c>
      <c r="V68" s="24"/>
      <c r="W68" s="24">
        <f t="shared" si="1"/>
        <v>10733422</v>
      </c>
      <c r="X68" s="24"/>
      <c r="Y68" s="24">
        <f t="shared" si="2"/>
        <v>27971141</v>
      </c>
    </row>
    <row r="69" spans="1:25" ht="12.75" customHeight="1">
      <c r="A69" s="23" t="s">
        <v>61</v>
      </c>
      <c r="B69" s="23"/>
      <c r="C69" s="24">
        <v>11642730</v>
      </c>
      <c r="D69" s="24"/>
      <c r="E69" s="24">
        <v>29542557</v>
      </c>
      <c r="F69" s="24"/>
      <c r="G69" s="24">
        <v>2717914</v>
      </c>
      <c r="H69" s="24"/>
      <c r="I69" s="24">
        <f>2883898+365236+476182+925300+2976132+5453930+2380908+566181</f>
        <v>16027767</v>
      </c>
      <c r="J69" s="24"/>
      <c r="K69" s="24">
        <v>14683620</v>
      </c>
      <c r="L69" s="24"/>
      <c r="M69" s="24">
        <v>346541</v>
      </c>
      <c r="N69" s="24"/>
      <c r="O69" s="24">
        <v>2463062</v>
      </c>
      <c r="P69" s="24"/>
      <c r="Q69" s="24">
        <v>735554</v>
      </c>
      <c r="R69" s="24"/>
      <c r="S69" s="24">
        <v>714791</v>
      </c>
      <c r="T69" s="24"/>
      <c r="U69" s="24">
        <v>0</v>
      </c>
      <c r="V69" s="24"/>
      <c r="W69" s="24">
        <f t="shared" si="1"/>
        <v>34971335</v>
      </c>
      <c r="X69" s="24"/>
      <c r="Y69" s="24">
        <f t="shared" si="2"/>
        <v>78874536</v>
      </c>
    </row>
    <row r="70" spans="1:25" ht="12.75" customHeight="1">
      <c r="A70" s="23" t="s">
        <v>62</v>
      </c>
      <c r="B70" s="23"/>
      <c r="C70" s="24">
        <v>1801458</v>
      </c>
      <c r="D70" s="24"/>
      <c r="E70" s="24">
        <v>6930336</v>
      </c>
      <c r="F70" s="24"/>
      <c r="G70" s="24">
        <v>95957</v>
      </c>
      <c r="H70" s="24"/>
      <c r="I70" s="24">
        <f>797365+53406+562175+293530+99918</f>
        <v>1806394</v>
      </c>
      <c r="J70" s="24"/>
      <c r="K70" s="24">
        <v>1117396</v>
      </c>
      <c r="L70" s="24"/>
      <c r="M70" s="24">
        <v>0</v>
      </c>
      <c r="N70" s="24"/>
      <c r="O70" s="24">
        <v>414711</v>
      </c>
      <c r="P70" s="24"/>
      <c r="Q70" s="24">
        <v>148335</v>
      </c>
      <c r="R70" s="24"/>
      <c r="S70" s="24">
        <f>3137+277438</f>
        <v>280575</v>
      </c>
      <c r="T70" s="24"/>
      <c r="U70" s="24">
        <v>0</v>
      </c>
      <c r="V70" s="24"/>
      <c r="W70" s="24">
        <f t="shared" si="1"/>
        <v>3767411</v>
      </c>
      <c r="X70" s="24"/>
      <c r="Y70" s="24">
        <f t="shared" si="2"/>
        <v>12595162</v>
      </c>
    </row>
    <row r="71" spans="1:25" ht="12.75" customHeight="1" hidden="1">
      <c r="A71" s="23" t="s">
        <v>63</v>
      </c>
      <c r="B71" s="23"/>
      <c r="C71" s="24">
        <v>0</v>
      </c>
      <c r="D71" s="24"/>
      <c r="E71" s="24">
        <v>0</v>
      </c>
      <c r="F71" s="24"/>
      <c r="G71" s="24">
        <v>0</v>
      </c>
      <c r="H71" s="24"/>
      <c r="I71" s="24">
        <v>0</v>
      </c>
      <c r="J71" s="24"/>
      <c r="K71" s="24">
        <v>0</v>
      </c>
      <c r="L71" s="24"/>
      <c r="M71" s="24">
        <v>0</v>
      </c>
      <c r="N71" s="24"/>
      <c r="O71" s="24">
        <v>0</v>
      </c>
      <c r="P71" s="24"/>
      <c r="Q71" s="24">
        <v>0</v>
      </c>
      <c r="R71" s="24"/>
      <c r="S71" s="24">
        <v>0</v>
      </c>
      <c r="T71" s="24"/>
      <c r="U71" s="24">
        <v>0</v>
      </c>
      <c r="V71" s="24"/>
      <c r="W71" s="24">
        <f t="shared" si="1"/>
        <v>0</v>
      </c>
      <c r="X71" s="24"/>
      <c r="Y71" s="24">
        <f t="shared" si="2"/>
        <v>0</v>
      </c>
    </row>
    <row r="72" spans="1:25" ht="12.75" customHeight="1" hidden="1">
      <c r="A72" s="23" t="s">
        <v>132</v>
      </c>
      <c r="B72" s="23"/>
      <c r="C72" s="24">
        <v>0</v>
      </c>
      <c r="D72" s="24"/>
      <c r="E72" s="24">
        <v>0</v>
      </c>
      <c r="F72" s="24"/>
      <c r="G72" s="24">
        <v>0</v>
      </c>
      <c r="H72" s="24"/>
      <c r="I72" s="24">
        <v>0</v>
      </c>
      <c r="J72" s="24"/>
      <c r="K72" s="24">
        <v>0</v>
      </c>
      <c r="L72" s="24"/>
      <c r="M72" s="24">
        <v>0</v>
      </c>
      <c r="N72" s="24"/>
      <c r="O72" s="24">
        <v>0</v>
      </c>
      <c r="P72" s="24"/>
      <c r="Q72" s="24">
        <v>0</v>
      </c>
      <c r="R72" s="24"/>
      <c r="S72" s="24">
        <v>0</v>
      </c>
      <c r="T72" s="24"/>
      <c r="U72" s="24">
        <v>0</v>
      </c>
      <c r="V72" s="24"/>
      <c r="W72" s="24">
        <f t="shared" si="1"/>
        <v>0</v>
      </c>
      <c r="X72" s="24"/>
      <c r="Y72" s="24">
        <f t="shared" si="2"/>
        <v>0</v>
      </c>
    </row>
    <row r="73" spans="1:25" ht="12.75" customHeight="1" hidden="1">
      <c r="A73" s="23" t="s">
        <v>64</v>
      </c>
      <c r="B73" s="23"/>
      <c r="C73" s="24">
        <v>0</v>
      </c>
      <c r="D73" s="24"/>
      <c r="E73" s="24">
        <v>0</v>
      </c>
      <c r="F73" s="24"/>
      <c r="G73" s="24">
        <v>0</v>
      </c>
      <c r="H73" s="24"/>
      <c r="I73" s="24">
        <v>0</v>
      </c>
      <c r="J73" s="24"/>
      <c r="K73" s="24">
        <v>0</v>
      </c>
      <c r="L73" s="24"/>
      <c r="M73" s="24">
        <v>0</v>
      </c>
      <c r="N73" s="24"/>
      <c r="O73" s="24">
        <v>0</v>
      </c>
      <c r="P73" s="24"/>
      <c r="Q73" s="24">
        <v>0</v>
      </c>
      <c r="R73" s="24"/>
      <c r="S73" s="24">
        <v>0</v>
      </c>
      <c r="T73" s="24"/>
      <c r="U73" s="24">
        <v>0</v>
      </c>
      <c r="V73" s="24"/>
      <c r="W73" s="24">
        <f t="shared" si="1"/>
        <v>0</v>
      </c>
      <c r="X73" s="24"/>
      <c r="Y73" s="24">
        <f t="shared" si="2"/>
        <v>0</v>
      </c>
    </row>
    <row r="74" spans="1:25" ht="12.75" customHeight="1">
      <c r="A74" s="23" t="s">
        <v>65</v>
      </c>
      <c r="B74" s="23"/>
      <c r="C74" s="24">
        <v>5338278</v>
      </c>
      <c r="D74" s="24"/>
      <c r="E74" s="24">
        <v>13436446</v>
      </c>
      <c r="F74" s="24"/>
      <c r="G74" s="24">
        <v>0</v>
      </c>
      <c r="H74" s="24"/>
      <c r="I74" s="24">
        <f>6592927+6229</f>
        <v>6599156</v>
      </c>
      <c r="J74" s="24"/>
      <c r="K74" s="24">
        <v>5883970</v>
      </c>
      <c r="L74" s="24"/>
      <c r="M74" s="24">
        <v>0</v>
      </c>
      <c r="N74" s="24"/>
      <c r="O74" s="24">
        <v>1602393</v>
      </c>
      <c r="P74" s="24"/>
      <c r="Q74" s="24">
        <v>296912</v>
      </c>
      <c r="R74" s="24"/>
      <c r="S74" s="24">
        <v>915215</v>
      </c>
      <c r="T74" s="24"/>
      <c r="U74" s="24">
        <v>0</v>
      </c>
      <c r="V74" s="24"/>
      <c r="W74" s="24">
        <f t="shared" si="1"/>
        <v>15297646</v>
      </c>
      <c r="X74" s="24"/>
      <c r="Y74" s="24">
        <f t="shared" si="2"/>
        <v>34072370</v>
      </c>
    </row>
    <row r="75" spans="1:25" ht="12.75" customHeight="1">
      <c r="A75" s="23" t="s">
        <v>66</v>
      </c>
      <c r="B75" s="23"/>
      <c r="C75" s="24">
        <v>2829373</v>
      </c>
      <c r="D75" s="24"/>
      <c r="E75" s="24">
        <v>11037642</v>
      </c>
      <c r="F75" s="24"/>
      <c r="G75" s="24">
        <v>4600962</v>
      </c>
      <c r="H75" s="24"/>
      <c r="I75" s="24">
        <f>1593171+385062+1148951+541400+280304</f>
        <v>3948888</v>
      </c>
      <c r="J75" s="24"/>
      <c r="K75" s="24">
        <v>3591117</v>
      </c>
      <c r="L75" s="24"/>
      <c r="M75" s="24">
        <v>0</v>
      </c>
      <c r="N75" s="24"/>
      <c r="O75" s="24">
        <v>1439578</v>
      </c>
      <c r="P75" s="24"/>
      <c r="Q75" s="24">
        <v>178680</v>
      </c>
      <c r="R75" s="24"/>
      <c r="S75" s="24">
        <v>1060919</v>
      </c>
      <c r="T75" s="24"/>
      <c r="U75" s="24">
        <v>-5615</v>
      </c>
      <c r="V75" s="24"/>
      <c r="W75" s="24">
        <f t="shared" si="1"/>
        <v>10213567</v>
      </c>
      <c r="X75" s="24"/>
      <c r="Y75" s="24">
        <f t="shared" si="2"/>
        <v>28681544</v>
      </c>
    </row>
    <row r="76" spans="1:25" ht="12.75" customHeight="1">
      <c r="A76" s="23" t="s">
        <v>67</v>
      </c>
      <c r="B76" s="23"/>
      <c r="C76" s="24">
        <v>18345411</v>
      </c>
      <c r="D76" s="24"/>
      <c r="E76" s="24">
        <v>13693228</v>
      </c>
      <c r="F76" s="24"/>
      <c r="G76" s="24">
        <v>4535512</v>
      </c>
      <c r="H76" s="24"/>
      <c r="I76" s="24">
        <f>4639442+3599777+13100980+2471589+1395310</f>
        <v>25207098</v>
      </c>
      <c r="J76" s="24"/>
      <c r="K76" s="24">
        <v>16017457</v>
      </c>
      <c r="L76" s="24"/>
      <c r="M76" s="24">
        <v>0</v>
      </c>
      <c r="N76" s="24"/>
      <c r="O76" s="24">
        <v>34005281</v>
      </c>
      <c r="P76" s="24"/>
      <c r="Q76" s="24">
        <v>2315318</v>
      </c>
      <c r="R76" s="24"/>
      <c r="S76" s="24">
        <v>1082667</v>
      </c>
      <c r="T76" s="24"/>
      <c r="U76" s="24">
        <v>-348416</v>
      </c>
      <c r="V76" s="24"/>
      <c r="W76" s="24">
        <f t="shared" si="1"/>
        <v>78279405</v>
      </c>
      <c r="X76" s="24"/>
      <c r="Y76" s="24">
        <f t="shared" si="2"/>
        <v>114853556</v>
      </c>
    </row>
    <row r="77" spans="1:25" ht="12.75" customHeight="1">
      <c r="A77" s="23" t="s">
        <v>68</v>
      </c>
      <c r="B77" s="23"/>
      <c r="C77" s="24">
        <v>3774390</v>
      </c>
      <c r="D77" s="24"/>
      <c r="E77" s="24">
        <v>13468553</v>
      </c>
      <c r="F77" s="24"/>
      <c r="G77" s="24">
        <v>583668</v>
      </c>
      <c r="H77" s="24"/>
      <c r="I77" s="24">
        <v>4323031</v>
      </c>
      <c r="J77" s="24"/>
      <c r="K77" s="24">
        <v>4444871</v>
      </c>
      <c r="L77" s="24"/>
      <c r="M77" s="24">
        <v>0</v>
      </c>
      <c r="N77" s="24"/>
      <c r="O77" s="24">
        <v>1336247</v>
      </c>
      <c r="P77" s="24"/>
      <c r="Q77" s="24">
        <v>166335</v>
      </c>
      <c r="R77" s="24"/>
      <c r="S77" s="24">
        <f>401905+14625+21000</f>
        <v>437530</v>
      </c>
      <c r="T77" s="24"/>
      <c r="U77" s="24">
        <v>0</v>
      </c>
      <c r="V77" s="24"/>
      <c r="W77" s="24">
        <f>SUM(I77:U77)</f>
        <v>10708014</v>
      </c>
      <c r="X77" s="24"/>
      <c r="Y77" s="24">
        <f t="shared" si="2"/>
        <v>28534625</v>
      </c>
    </row>
    <row r="78" spans="1:25" ht="12.75" customHeight="1" hidden="1">
      <c r="A78" s="23" t="s">
        <v>176</v>
      </c>
      <c r="B78" s="23"/>
      <c r="C78" s="24"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v>0</v>
      </c>
      <c r="T78" s="24"/>
      <c r="U78" s="24">
        <v>0</v>
      </c>
      <c r="V78" s="24"/>
      <c r="W78" s="24"/>
      <c r="X78" s="24"/>
      <c r="Y78" s="24"/>
    </row>
    <row r="79" spans="3:21" ht="12.75" customHeight="1">
      <c r="C79" s="24"/>
      <c r="E79" s="24"/>
      <c r="G79" s="24"/>
      <c r="I79" s="24"/>
      <c r="K79" s="24"/>
      <c r="M79" s="24"/>
      <c r="O79" s="24"/>
      <c r="Q79" s="24"/>
      <c r="S79" s="24"/>
      <c r="U79" s="24"/>
    </row>
    <row r="80" spans="3:25" ht="12.75" customHeight="1">
      <c r="C80" s="24"/>
      <c r="E80" s="24"/>
      <c r="G80" s="24"/>
      <c r="I80" s="24"/>
      <c r="K80" s="24"/>
      <c r="M80" s="24"/>
      <c r="O80" s="24"/>
      <c r="Q80" s="24"/>
      <c r="S80" s="24"/>
      <c r="U80" s="24"/>
      <c r="Y80" s="30" t="s">
        <v>249</v>
      </c>
    </row>
    <row r="81" spans="1:25" ht="12.75" customHeight="1">
      <c r="A81" s="23" t="s">
        <v>178</v>
      </c>
      <c r="B81" s="23"/>
      <c r="C81" s="44">
        <v>13593526</v>
      </c>
      <c r="D81" s="44"/>
      <c r="E81" s="44">
        <v>51121166</v>
      </c>
      <c r="F81" s="44"/>
      <c r="G81" s="44">
        <v>1715261</v>
      </c>
      <c r="H81" s="44"/>
      <c r="I81" s="44">
        <f>4677506+1596040+8349301+2783846+7633331</f>
        <v>25040024</v>
      </c>
      <c r="J81" s="44"/>
      <c r="K81" s="44">
        <v>14387513</v>
      </c>
      <c r="L81" s="44"/>
      <c r="M81" s="44">
        <v>0</v>
      </c>
      <c r="N81" s="44"/>
      <c r="O81" s="44">
        <v>4717711</v>
      </c>
      <c r="P81" s="44"/>
      <c r="Q81" s="44">
        <v>768416</v>
      </c>
      <c r="R81" s="44"/>
      <c r="S81" s="44">
        <v>626824</v>
      </c>
      <c r="T81" s="44"/>
      <c r="U81" s="44">
        <v>0</v>
      </c>
      <c r="V81" s="44"/>
      <c r="W81" s="44">
        <f>SUM(I81:U81)</f>
        <v>45540488</v>
      </c>
      <c r="X81" s="44"/>
      <c r="Y81" s="44">
        <f t="shared" si="2"/>
        <v>111970441</v>
      </c>
    </row>
    <row r="82" spans="1:25" ht="12.75" customHeight="1">
      <c r="A82" s="23" t="s">
        <v>69</v>
      </c>
      <c r="B82" s="23"/>
      <c r="C82" s="24">
        <v>8245120</v>
      </c>
      <c r="D82" s="24"/>
      <c r="E82" s="24">
        <v>22028889</v>
      </c>
      <c r="F82" s="24"/>
      <c r="G82" s="24">
        <v>1130012</v>
      </c>
      <c r="H82" s="24"/>
      <c r="I82" s="24">
        <f>862004+4533998+456618+3103539</f>
        <v>8956159</v>
      </c>
      <c r="J82" s="24"/>
      <c r="K82" s="24">
        <v>12000398</v>
      </c>
      <c r="L82" s="24"/>
      <c r="M82" s="24">
        <v>0</v>
      </c>
      <c r="N82" s="24"/>
      <c r="O82" s="24">
        <v>1279565</v>
      </c>
      <c r="P82" s="24"/>
      <c r="Q82" s="24">
        <v>207628</v>
      </c>
      <c r="R82" s="24"/>
      <c r="S82" s="24">
        <v>1290899</v>
      </c>
      <c r="T82" s="24"/>
      <c r="U82" s="24">
        <v>0</v>
      </c>
      <c r="V82" s="24"/>
      <c r="W82" s="24">
        <f>SUM(I82:U82)</f>
        <v>23734649</v>
      </c>
      <c r="X82" s="24"/>
      <c r="Y82" s="24">
        <f t="shared" si="2"/>
        <v>55138670</v>
      </c>
    </row>
    <row r="83" spans="1:25" ht="12.75" customHeight="1">
      <c r="A83" s="23" t="s">
        <v>98</v>
      </c>
      <c r="B83" s="23"/>
      <c r="C83" s="24">
        <v>7604028</v>
      </c>
      <c r="D83" s="24"/>
      <c r="E83" s="24">
        <v>19600681</v>
      </c>
      <c r="F83" s="24"/>
      <c r="G83" s="24">
        <v>499550</v>
      </c>
      <c r="H83" s="24"/>
      <c r="I83" s="24">
        <f>2515711+3667218+439979+222856</f>
        <v>6845764</v>
      </c>
      <c r="J83" s="24"/>
      <c r="K83" s="146">
        <f>6466595+1542801</f>
        <v>8009396</v>
      </c>
      <c r="L83" s="24"/>
      <c r="M83" s="24">
        <v>0</v>
      </c>
      <c r="N83" s="24"/>
      <c r="O83" s="24">
        <v>3850356</v>
      </c>
      <c r="P83" s="24"/>
      <c r="Q83" s="24">
        <v>383177</v>
      </c>
      <c r="R83" s="24"/>
      <c r="S83" s="24">
        <v>3002752</v>
      </c>
      <c r="T83" s="24"/>
      <c r="U83" s="24">
        <v>0</v>
      </c>
      <c r="V83" s="24"/>
      <c r="W83" s="24">
        <f>SUM(I83:U83)</f>
        <v>22091445</v>
      </c>
      <c r="X83" s="24"/>
      <c r="Y83" s="24">
        <f>SUM(B83:V83)</f>
        <v>49795704</v>
      </c>
    </row>
    <row r="84" spans="1:25" ht="12.75" customHeight="1">
      <c r="A84" s="23" t="s">
        <v>70</v>
      </c>
      <c r="B84" s="23"/>
      <c r="C84" s="24">
        <v>6875556</v>
      </c>
      <c r="D84" s="24"/>
      <c r="E84" s="24">
        <v>23960110</v>
      </c>
      <c r="F84" s="24"/>
      <c r="G84" s="24">
        <v>3760312</v>
      </c>
      <c r="H84" s="24"/>
      <c r="I84" s="24">
        <f>1626886+3447796+727221+88997</f>
        <v>5890900</v>
      </c>
      <c r="J84" s="24"/>
      <c r="K84" s="24">
        <f>310015+10054762+19792</f>
        <v>10384569</v>
      </c>
      <c r="L84" s="24"/>
      <c r="M84" s="24">
        <v>0</v>
      </c>
      <c r="N84" s="24"/>
      <c r="O84" s="24">
        <v>1553454</v>
      </c>
      <c r="P84" s="24"/>
      <c r="Q84" s="24">
        <v>10026</v>
      </c>
      <c r="R84" s="24"/>
      <c r="S84" s="24">
        <v>916397</v>
      </c>
      <c r="T84" s="24"/>
      <c r="U84" s="24">
        <v>0</v>
      </c>
      <c r="V84" s="24"/>
      <c r="W84" s="24">
        <f aca="true" t="shared" si="3" ref="W84:W98">SUM(I84:U84)</f>
        <v>18755346</v>
      </c>
      <c r="X84" s="24"/>
      <c r="Y84" s="24">
        <f>SUM(B84:V84)</f>
        <v>53351324</v>
      </c>
    </row>
    <row r="85" spans="1:25" ht="12.75" customHeight="1">
      <c r="A85" s="23" t="s">
        <v>71</v>
      </c>
      <c r="B85" s="23"/>
      <c r="C85" s="24">
        <v>4719371</v>
      </c>
      <c r="D85" s="24"/>
      <c r="E85" s="24">
        <v>19168824</v>
      </c>
      <c r="F85" s="24"/>
      <c r="G85" s="24">
        <v>5637110</v>
      </c>
      <c r="H85" s="24"/>
      <c r="I85" s="24">
        <f>1929228+3294311</f>
        <v>5223539</v>
      </c>
      <c r="J85" s="24"/>
      <c r="K85" s="24">
        <v>6895795</v>
      </c>
      <c r="L85" s="24"/>
      <c r="M85" s="24">
        <v>0</v>
      </c>
      <c r="N85" s="24"/>
      <c r="O85" s="24">
        <v>1870248</v>
      </c>
      <c r="P85" s="24"/>
      <c r="Q85" s="24">
        <v>99135</v>
      </c>
      <c r="R85" s="24"/>
      <c r="S85" s="24">
        <f>21300+880907</f>
        <v>902207</v>
      </c>
      <c r="T85" s="24"/>
      <c r="U85" s="24">
        <v>0</v>
      </c>
      <c r="V85" s="24"/>
      <c r="W85" s="24">
        <f t="shared" si="3"/>
        <v>14990924</v>
      </c>
      <c r="X85" s="24"/>
      <c r="Y85" s="24">
        <f>SUM(B85:V85)</f>
        <v>44516229</v>
      </c>
    </row>
    <row r="86" spans="1:25" ht="12.75" customHeight="1">
      <c r="A86" s="23" t="s">
        <v>72</v>
      </c>
      <c r="B86" s="23"/>
      <c r="C86" s="24">
        <v>7119063</v>
      </c>
      <c r="D86" s="24"/>
      <c r="E86" s="24">
        <v>12097805</v>
      </c>
      <c r="F86" s="24"/>
      <c r="G86" s="24">
        <v>119979</v>
      </c>
      <c r="H86" s="24"/>
      <c r="I86" s="24">
        <f>1914039+4103857</f>
        <v>6017896</v>
      </c>
      <c r="J86" s="24"/>
      <c r="K86" s="24">
        <f>3439819+1154306+2299848</f>
        <v>6893973</v>
      </c>
      <c r="L86" s="24"/>
      <c r="M86" s="24">
        <v>145042</v>
      </c>
      <c r="N86" s="24"/>
      <c r="O86" s="24">
        <v>4381876</v>
      </c>
      <c r="P86" s="24"/>
      <c r="Q86" s="24">
        <f>196680-41571</f>
        <v>155109</v>
      </c>
      <c r="R86" s="24"/>
      <c r="S86" s="24">
        <v>25274</v>
      </c>
      <c r="T86" s="24"/>
      <c r="U86" s="24">
        <v>-275000</v>
      </c>
      <c r="V86" s="24"/>
      <c r="W86" s="24">
        <f t="shared" si="3"/>
        <v>17344170</v>
      </c>
      <c r="X86" s="44"/>
      <c r="Y86" s="24">
        <f t="shared" si="2"/>
        <v>36681017</v>
      </c>
    </row>
    <row r="87" spans="1:25" ht="12.75" customHeight="1">
      <c r="A87" s="23" t="s">
        <v>73</v>
      </c>
      <c r="B87" s="23"/>
      <c r="C87" s="24">
        <v>26198972</v>
      </c>
      <c r="D87" s="24"/>
      <c r="E87" s="24">
        <v>127500075</v>
      </c>
      <c r="F87" s="24"/>
      <c r="G87" s="24">
        <v>13213520</v>
      </c>
      <c r="H87" s="24"/>
      <c r="I87" s="24">
        <f>12956140+28246152+535062+6230275+8266992</f>
        <v>56234621</v>
      </c>
      <c r="J87" s="24"/>
      <c r="K87" s="24">
        <v>20223966</v>
      </c>
      <c r="L87" s="24"/>
      <c r="M87" s="24">
        <v>0</v>
      </c>
      <c r="N87" s="24"/>
      <c r="O87" s="24">
        <v>9501713</v>
      </c>
      <c r="P87" s="24"/>
      <c r="Q87" s="24">
        <v>1849388</v>
      </c>
      <c r="R87" s="24"/>
      <c r="S87" s="24">
        <f>19433+4218910</f>
        <v>4238343</v>
      </c>
      <c r="T87" s="24"/>
      <c r="U87" s="24">
        <v>0</v>
      </c>
      <c r="V87" s="24"/>
      <c r="W87" s="24">
        <f t="shared" si="3"/>
        <v>92048031</v>
      </c>
      <c r="X87" s="24"/>
      <c r="Y87" s="24">
        <f t="shared" si="2"/>
        <v>258960598</v>
      </c>
    </row>
    <row r="88" spans="1:25" ht="12.75" customHeight="1" hidden="1">
      <c r="A88" s="23" t="s">
        <v>74</v>
      </c>
      <c r="B88" s="23"/>
      <c r="C88" s="24">
        <v>0</v>
      </c>
      <c r="D88" s="24"/>
      <c r="E88" s="24">
        <v>0</v>
      </c>
      <c r="F88" s="24"/>
      <c r="G88" s="24">
        <v>0</v>
      </c>
      <c r="H88" s="24"/>
      <c r="I88" s="24">
        <v>0</v>
      </c>
      <c r="J88" s="24"/>
      <c r="K88" s="24">
        <v>0</v>
      </c>
      <c r="L88" s="24"/>
      <c r="M88" s="24">
        <v>0</v>
      </c>
      <c r="N88" s="24"/>
      <c r="O88" s="24">
        <v>0</v>
      </c>
      <c r="P88" s="24"/>
      <c r="Q88" s="24">
        <v>0</v>
      </c>
      <c r="R88" s="24"/>
      <c r="S88" s="24">
        <v>0</v>
      </c>
      <c r="T88" s="24"/>
      <c r="U88" s="24">
        <v>0</v>
      </c>
      <c r="V88" s="24"/>
      <c r="W88" s="24">
        <f t="shared" si="3"/>
        <v>0</v>
      </c>
      <c r="X88" s="24"/>
      <c r="Y88" s="24">
        <f t="shared" si="2"/>
        <v>0</v>
      </c>
    </row>
    <row r="89" spans="1:25" ht="12.75" customHeight="1">
      <c r="A89" s="23" t="s">
        <v>75</v>
      </c>
      <c r="B89" s="23"/>
      <c r="C89" s="24">
        <v>20463369</v>
      </c>
      <c r="D89" s="24"/>
      <c r="E89" s="24">
        <v>79291441</v>
      </c>
      <c r="F89" s="24"/>
      <c r="G89" s="24">
        <v>609965</v>
      </c>
      <c r="H89" s="24"/>
      <c r="I89" s="24">
        <v>36545866</v>
      </c>
      <c r="J89" s="24"/>
      <c r="K89" s="24">
        <v>20813466</v>
      </c>
      <c r="L89" s="24"/>
      <c r="M89" s="24">
        <v>0</v>
      </c>
      <c r="N89" s="24"/>
      <c r="O89" s="24">
        <v>7480346</v>
      </c>
      <c r="P89" s="24"/>
      <c r="Q89" s="24">
        <v>585540</v>
      </c>
      <c r="R89" s="24"/>
      <c r="S89" s="24">
        <v>754150</v>
      </c>
      <c r="T89" s="24"/>
      <c r="U89" s="24">
        <v>162586</v>
      </c>
      <c r="V89" s="24"/>
      <c r="W89" s="24">
        <f t="shared" si="3"/>
        <v>66341954</v>
      </c>
      <c r="X89" s="24"/>
      <c r="Y89" s="24">
        <f t="shared" si="2"/>
        <v>166706729</v>
      </c>
    </row>
    <row r="90" spans="1:25" ht="12.75" customHeight="1">
      <c r="A90" s="23" t="s">
        <v>76</v>
      </c>
      <c r="B90" s="23"/>
      <c r="C90" s="24">
        <v>7614352</v>
      </c>
      <c r="D90" s="24"/>
      <c r="E90" s="24">
        <v>16455036</v>
      </c>
      <c r="F90" s="24"/>
      <c r="G90" s="24">
        <v>2920356</v>
      </c>
      <c r="H90" s="24"/>
      <c r="I90" s="24">
        <f>3610729+4272677+966068+348292+202500</f>
        <v>9400266</v>
      </c>
      <c r="J90" s="24"/>
      <c r="K90" s="24">
        <v>9115316</v>
      </c>
      <c r="L90" s="24"/>
      <c r="M90" s="24">
        <v>0</v>
      </c>
      <c r="N90" s="24"/>
      <c r="O90" s="24">
        <v>7295558</v>
      </c>
      <c r="P90" s="24"/>
      <c r="Q90" s="24">
        <v>364715</v>
      </c>
      <c r="R90" s="24"/>
      <c r="S90" s="24">
        <v>2003412</v>
      </c>
      <c r="T90" s="24"/>
      <c r="U90" s="24">
        <v>0</v>
      </c>
      <c r="V90" s="24"/>
      <c r="W90" s="24">
        <f t="shared" si="3"/>
        <v>28179267</v>
      </c>
      <c r="X90" s="24"/>
      <c r="Y90" s="24">
        <f t="shared" si="2"/>
        <v>55169011</v>
      </c>
    </row>
    <row r="91" spans="1:25" ht="12.75" customHeight="1">
      <c r="A91" s="23" t="s">
        <v>77</v>
      </c>
      <c r="B91" s="23"/>
      <c r="C91" s="24">
        <v>7004565</v>
      </c>
      <c r="D91" s="24"/>
      <c r="E91" s="24">
        <v>15668879</v>
      </c>
      <c r="F91" s="24"/>
      <c r="G91" s="24">
        <v>1824731</v>
      </c>
      <c r="H91" s="24"/>
      <c r="I91" s="24">
        <f>3841983+5710635+784247+556260</f>
        <v>10893125</v>
      </c>
      <c r="J91" s="24"/>
      <c r="K91" s="24">
        <f>7406053+946419+946419</f>
        <v>9298891</v>
      </c>
      <c r="L91" s="24"/>
      <c r="M91" s="24">
        <v>0</v>
      </c>
      <c r="N91" s="24"/>
      <c r="O91" s="24">
        <v>5284472</v>
      </c>
      <c r="P91" s="24"/>
      <c r="Q91" s="24">
        <v>768985</v>
      </c>
      <c r="R91" s="24"/>
      <c r="S91" s="24">
        <v>735260</v>
      </c>
      <c r="T91" s="24"/>
      <c r="U91" s="24">
        <v>0</v>
      </c>
      <c r="V91" s="24"/>
      <c r="W91" s="24">
        <f t="shared" si="3"/>
        <v>26980733</v>
      </c>
      <c r="X91" s="24"/>
      <c r="Y91" s="24">
        <f t="shared" si="2"/>
        <v>51478908</v>
      </c>
    </row>
    <row r="92" spans="1:25" ht="12.75" customHeight="1">
      <c r="A92" s="23" t="s">
        <v>78</v>
      </c>
      <c r="B92" s="23"/>
      <c r="C92" s="24">
        <v>3680889</v>
      </c>
      <c r="D92" s="24"/>
      <c r="E92" s="24">
        <v>9475193</v>
      </c>
      <c r="F92" s="24"/>
      <c r="G92" s="24">
        <v>891468</v>
      </c>
      <c r="H92" s="24"/>
      <c r="I92" s="24">
        <f>946544+1394379+151466</f>
        <v>2492389</v>
      </c>
      <c r="J92" s="24"/>
      <c r="K92" s="24">
        <f>101821+3773437</f>
        <v>3875258</v>
      </c>
      <c r="L92" s="24"/>
      <c r="M92" s="24">
        <v>396935</v>
      </c>
      <c r="N92" s="24"/>
      <c r="O92" s="24">
        <v>1599274</v>
      </c>
      <c r="P92" s="24"/>
      <c r="Q92" s="24">
        <v>137406</v>
      </c>
      <c r="R92" s="24"/>
      <c r="S92" s="24">
        <v>221042</v>
      </c>
      <c r="T92" s="24"/>
      <c r="U92" s="24">
        <v>2494</v>
      </c>
      <c r="V92" s="24"/>
      <c r="W92" s="24">
        <f t="shared" si="3"/>
        <v>8724798</v>
      </c>
      <c r="X92" s="24"/>
      <c r="Y92" s="24">
        <f t="shared" si="2"/>
        <v>22772348</v>
      </c>
    </row>
    <row r="93" spans="1:25" ht="12.75" customHeight="1" hidden="1">
      <c r="A93" s="23" t="s">
        <v>79</v>
      </c>
      <c r="B93" s="23"/>
      <c r="C93" s="24">
        <v>0</v>
      </c>
      <c r="D93" s="24"/>
      <c r="E93" s="24">
        <v>0</v>
      </c>
      <c r="F93" s="24"/>
      <c r="G93" s="24">
        <v>0</v>
      </c>
      <c r="H93" s="24"/>
      <c r="I93" s="24">
        <v>0</v>
      </c>
      <c r="J93" s="24"/>
      <c r="K93" s="24"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v>0</v>
      </c>
      <c r="T93" s="24"/>
      <c r="U93" s="24">
        <v>0</v>
      </c>
      <c r="V93" s="24"/>
      <c r="W93" s="24">
        <f t="shared" si="3"/>
        <v>0</v>
      </c>
      <c r="X93" s="24"/>
      <c r="Y93" s="24">
        <f t="shared" si="2"/>
        <v>0</v>
      </c>
    </row>
    <row r="94" spans="1:25" ht="12.75" customHeight="1">
      <c r="A94" s="23" t="s">
        <v>80</v>
      </c>
      <c r="B94" s="23"/>
      <c r="C94" s="24">
        <v>16959810</v>
      </c>
      <c r="D94" s="24"/>
      <c r="E94" s="24">
        <v>17843458</v>
      </c>
      <c r="F94" s="24"/>
      <c r="G94" s="24">
        <v>6489133</v>
      </c>
      <c r="H94" s="24"/>
      <c r="I94" s="24">
        <v>33058573</v>
      </c>
      <c r="J94" s="24"/>
      <c r="K94" s="24">
        <v>27206742</v>
      </c>
      <c r="L94" s="24"/>
      <c r="M94" s="24">
        <f>208560+7699004</f>
        <v>7907564</v>
      </c>
      <c r="N94" s="24"/>
      <c r="O94" s="24">
        <v>9169890</v>
      </c>
      <c r="P94" s="24"/>
      <c r="Q94" s="24">
        <v>2044082</v>
      </c>
      <c r="R94" s="24"/>
      <c r="S94" s="24">
        <v>17398</v>
      </c>
      <c r="T94" s="24"/>
      <c r="U94" s="24">
        <v>0</v>
      </c>
      <c r="V94" s="24"/>
      <c r="W94" s="24">
        <f>SUM(I94:U94)</f>
        <v>79404249</v>
      </c>
      <c r="X94" s="24"/>
      <c r="Y94" s="24">
        <f aca="true" t="shared" si="4" ref="Y94:Y99">SUM(B94:V94)</f>
        <v>120696650</v>
      </c>
    </row>
    <row r="95" spans="1:25" ht="12.75" customHeight="1">
      <c r="A95" s="23" t="s">
        <v>81</v>
      </c>
      <c r="B95" s="23"/>
      <c r="C95" s="24">
        <v>5872014</v>
      </c>
      <c r="D95" s="24"/>
      <c r="E95" s="24">
        <v>24995471</v>
      </c>
      <c r="F95" s="24"/>
      <c r="G95" s="24">
        <v>601721</v>
      </c>
      <c r="H95" s="24"/>
      <c r="I95" s="24">
        <f>2262400+2192073+3987356+740732+183962</f>
        <v>9366523</v>
      </c>
      <c r="J95" s="24"/>
      <c r="K95" s="24">
        <v>9809132</v>
      </c>
      <c r="L95" s="24"/>
      <c r="M95" s="24">
        <v>0</v>
      </c>
      <c r="N95" s="24"/>
      <c r="O95" s="24">
        <v>2136556</v>
      </c>
      <c r="P95" s="24"/>
      <c r="Q95" s="24">
        <v>1160530</v>
      </c>
      <c r="R95" s="24"/>
      <c r="S95" s="24">
        <f>220403+8704+254633</f>
        <v>483740</v>
      </c>
      <c r="T95" s="24"/>
      <c r="U95" s="24">
        <v>0</v>
      </c>
      <c r="V95" s="24"/>
      <c r="W95" s="24">
        <f t="shared" si="3"/>
        <v>22956481</v>
      </c>
      <c r="X95" s="24"/>
      <c r="Y95" s="24">
        <f t="shared" si="4"/>
        <v>54425687</v>
      </c>
    </row>
    <row r="96" spans="1:25" ht="12.75" customHeight="1">
      <c r="A96" s="23" t="s">
        <v>82</v>
      </c>
      <c r="B96" s="23"/>
      <c r="C96" s="24">
        <v>11488426</v>
      </c>
      <c r="D96" s="24"/>
      <c r="E96" s="24">
        <v>26642569</v>
      </c>
      <c r="F96" s="24"/>
      <c r="G96" s="24">
        <v>2314907</v>
      </c>
      <c r="H96" s="24"/>
      <c r="I96" s="24">
        <f>3829615+5696429+3375959+1257497</f>
        <v>14159500</v>
      </c>
      <c r="J96" s="24"/>
      <c r="K96" s="24">
        <v>9362158</v>
      </c>
      <c r="L96" s="24"/>
      <c r="M96" s="24">
        <v>0</v>
      </c>
      <c r="N96" s="24"/>
      <c r="O96" s="24">
        <v>3103757</v>
      </c>
      <c r="P96" s="24"/>
      <c r="Q96" s="24">
        <v>706265</v>
      </c>
      <c r="R96" s="24"/>
      <c r="S96" s="24">
        <v>934403</v>
      </c>
      <c r="T96" s="24"/>
      <c r="U96" s="24">
        <v>0</v>
      </c>
      <c r="V96" s="24"/>
      <c r="W96" s="24">
        <f t="shared" si="3"/>
        <v>28266083</v>
      </c>
      <c r="X96" s="24"/>
      <c r="Y96" s="24">
        <f t="shared" si="4"/>
        <v>68711985</v>
      </c>
    </row>
    <row r="97" spans="1:25" ht="12.75" customHeight="1" hidden="1">
      <c r="A97" s="23" t="s">
        <v>174</v>
      </c>
      <c r="B97" s="23"/>
      <c r="C97" s="24">
        <v>0</v>
      </c>
      <c r="D97" s="24"/>
      <c r="E97" s="24">
        <v>0</v>
      </c>
      <c r="F97" s="24"/>
      <c r="G97" s="24">
        <v>0</v>
      </c>
      <c r="H97" s="24"/>
      <c r="I97" s="24">
        <v>0</v>
      </c>
      <c r="J97" s="24"/>
      <c r="K97" s="24"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v>0</v>
      </c>
      <c r="T97" s="24"/>
      <c r="U97" s="24">
        <v>0</v>
      </c>
      <c r="V97" s="24"/>
      <c r="W97" s="24">
        <f t="shared" si="3"/>
        <v>0</v>
      </c>
      <c r="X97" s="24"/>
      <c r="Y97" s="24">
        <f t="shared" si="4"/>
        <v>0</v>
      </c>
    </row>
    <row r="98" spans="1:25" ht="12.75" customHeight="1">
      <c r="A98" s="23" t="s">
        <v>83</v>
      </c>
      <c r="B98" s="23"/>
      <c r="C98" s="24">
        <v>19439829</v>
      </c>
      <c r="D98" s="24"/>
      <c r="E98" s="24">
        <v>38579522</v>
      </c>
      <c r="F98" s="24"/>
      <c r="G98" s="24">
        <v>838328</v>
      </c>
      <c r="H98" s="24"/>
      <c r="I98" s="24">
        <f>5965979+6150852+1961720+10134153+1757919+126956</f>
        <v>26097579</v>
      </c>
      <c r="J98" s="24"/>
      <c r="K98" s="24">
        <f>15671971</f>
        <v>15671971</v>
      </c>
      <c r="L98" s="24"/>
      <c r="M98" s="24">
        <v>120907</v>
      </c>
      <c r="N98" s="24"/>
      <c r="O98" s="24">
        <v>3590082</v>
      </c>
      <c r="P98" s="24"/>
      <c r="Q98" s="24">
        <v>1677641</v>
      </c>
      <c r="R98" s="24"/>
      <c r="S98" s="24">
        <v>1679896</v>
      </c>
      <c r="T98" s="24"/>
      <c r="U98" s="24">
        <v>-176934</v>
      </c>
      <c r="V98" s="24"/>
      <c r="W98" s="24">
        <f t="shared" si="3"/>
        <v>48661142</v>
      </c>
      <c r="X98" s="24"/>
      <c r="Y98" s="24">
        <f t="shared" si="4"/>
        <v>107518821</v>
      </c>
    </row>
    <row r="99" spans="1:25" ht="12.75" customHeight="1" hidden="1">
      <c r="A99" s="23" t="s">
        <v>175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>
        <v>0</v>
      </c>
      <c r="V99" s="24"/>
      <c r="W99" s="24">
        <f>SUM(I99:U99)</f>
        <v>0</v>
      </c>
      <c r="X99" s="24"/>
      <c r="Y99" s="24">
        <f t="shared" si="4"/>
        <v>0</v>
      </c>
    </row>
    <row r="100" spans="1:25" ht="12.7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2.7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2.75" customHeight="1">
      <c r="A102" s="33"/>
      <c r="B102" s="3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2" customHeight="1">
      <c r="A103" s="33"/>
      <c r="B103" s="3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</sheetData>
  <sheetProtection/>
  <printOptions/>
  <pageMargins left="1" right="1" top="0.5" bottom="0.5" header="0" footer="0.25"/>
  <pageSetup firstPageNumber="8" useFirstPageNumber="1" horizontalDpi="600" verticalDpi="600" orientation="portrait" pageOrder="overThenDown" scale="91" r:id="rId1"/>
  <headerFooter scaleWithDoc="0" alignWithMargins="0">
    <oddFooter>&amp;C&amp;"Times New Roman,Regular"&amp;11&amp;P</oddFooter>
  </headerFooter>
  <rowBreaks count="1" manualBreakCount="1">
    <brk id="80" max="24" man="1"/>
  </rowBreaks>
  <colBreaks count="1" manualBreakCount="1">
    <brk id="13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110"/>
  <sheetViews>
    <sheetView zoomScale="120" zoomScaleNormal="12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E13" sqref="E13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1.7109375" style="26" customWidth="1"/>
    <col min="4" max="4" width="1.7109375" style="26" customWidth="1"/>
    <col min="5" max="5" width="11.7109375" style="26" customWidth="1"/>
    <col min="6" max="6" width="1.7109375" style="26" customWidth="1"/>
    <col min="7" max="7" width="11.7109375" style="26" customWidth="1"/>
    <col min="8" max="8" width="1.7109375" style="26" customWidth="1"/>
    <col min="9" max="9" width="11.7109375" style="26" customWidth="1"/>
    <col min="10" max="10" width="1.7109375" style="26" customWidth="1"/>
    <col min="11" max="11" width="11.7109375" style="26" customWidth="1"/>
    <col min="12" max="12" width="1.7109375" style="26" customWidth="1"/>
    <col min="13" max="13" width="11.7109375" style="26" customWidth="1"/>
    <col min="14" max="14" width="1.7109375" style="26" customWidth="1"/>
    <col min="15" max="15" width="11.7109375" style="26" customWidth="1"/>
    <col min="16" max="16" width="1.7109375" style="26" customWidth="1"/>
    <col min="17" max="17" width="11.7109375" style="26" customWidth="1"/>
    <col min="18" max="18" width="1.7109375" style="26" customWidth="1"/>
    <col min="19" max="19" width="11.7109375" style="26" customWidth="1"/>
    <col min="20" max="20" width="1.7109375" style="26" customWidth="1"/>
    <col min="21" max="21" width="11.7109375" style="26" customWidth="1"/>
    <col min="22" max="22" width="1.7109375" style="26" customWidth="1"/>
    <col min="23" max="23" width="11.7109375" style="26" customWidth="1"/>
    <col min="24" max="24" width="1.7109375" style="26" customWidth="1"/>
    <col min="25" max="25" width="11.7109375" style="97" customWidth="1"/>
    <col min="26" max="26" width="2.7109375" style="26" customWidth="1"/>
    <col min="27" max="27" width="12.7109375" style="26" customWidth="1"/>
    <col min="28" max="28" width="2.7109375" style="26" customWidth="1"/>
    <col min="29" max="29" width="12.7109375" style="26" customWidth="1"/>
    <col min="30" max="30" width="2.7109375" style="26" customWidth="1"/>
    <col min="31" max="32" width="12.7109375" style="97" customWidth="1"/>
    <col min="33" max="33" width="9.8515625" style="26" bestFit="1" customWidth="1"/>
    <col min="34" max="16384" width="9.140625" style="26" customWidth="1"/>
  </cols>
  <sheetData>
    <row r="1" spans="1:33" ht="12.75" customHeight="1">
      <c r="A1" s="49" t="s">
        <v>233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8"/>
      <c r="AG1" s="28"/>
    </row>
    <row r="2" spans="1:33" ht="12.75" customHeight="1">
      <c r="A2" s="49" t="s">
        <v>255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8"/>
      <c r="AG2" s="28"/>
    </row>
    <row r="3" spans="1:33" ht="12.75" customHeight="1">
      <c r="A3" s="49" t="s">
        <v>249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8"/>
      <c r="AG3" s="28"/>
    </row>
    <row r="4" spans="1:33" ht="12.75" customHeight="1">
      <c r="A4" s="49" t="s">
        <v>184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8"/>
      <c r="AG4" s="28"/>
    </row>
    <row r="5" spans="1:33" ht="12.75" customHeight="1">
      <c r="A5" s="3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8"/>
      <c r="AG5" s="28"/>
    </row>
    <row r="6" spans="1:33" ht="12.75" customHeight="1">
      <c r="A6" s="49"/>
      <c r="B6" s="24"/>
      <c r="C6" s="50" t="s">
        <v>146</v>
      </c>
      <c r="D6" s="50"/>
      <c r="E6" s="50"/>
      <c r="F6" s="50"/>
      <c r="G6" s="50"/>
      <c r="H6" s="50"/>
      <c r="I6" s="50"/>
      <c r="J6" s="50"/>
      <c r="K6" s="50"/>
      <c r="L6" s="54" t="s">
        <v>194</v>
      </c>
      <c r="M6" s="50"/>
      <c r="N6" s="51"/>
      <c r="O6" s="50"/>
      <c r="P6" s="50"/>
      <c r="Q6" s="50"/>
      <c r="R6" s="50"/>
      <c r="S6" s="50"/>
      <c r="T6" s="50"/>
      <c r="U6" s="50"/>
      <c r="V6" s="50"/>
      <c r="W6" s="50"/>
      <c r="X6" s="51"/>
      <c r="Y6" s="24"/>
      <c r="Z6" s="24"/>
      <c r="AA6" s="24"/>
      <c r="AB6" s="24"/>
      <c r="AC6" s="24"/>
      <c r="AD6" s="24"/>
      <c r="AE6" s="24"/>
      <c r="AF6" s="28"/>
      <c r="AG6" s="28"/>
    </row>
    <row r="7" spans="1:33" ht="12.75" customHeight="1">
      <c r="A7" s="19"/>
      <c r="B7" s="24"/>
      <c r="C7" s="21" t="s">
        <v>185</v>
      </c>
      <c r="D7" s="21"/>
      <c r="E7" s="21"/>
      <c r="F7" s="21"/>
      <c r="G7" s="21" t="s">
        <v>84</v>
      </c>
      <c r="H7" s="21"/>
      <c r="I7" s="21" t="s">
        <v>84</v>
      </c>
      <c r="J7" s="21"/>
      <c r="K7" s="21"/>
      <c r="L7" s="21"/>
      <c r="M7" s="21" t="s">
        <v>85</v>
      </c>
      <c r="N7" s="21"/>
      <c r="O7" s="21" t="s">
        <v>165</v>
      </c>
      <c r="P7" s="21"/>
      <c r="Q7" s="21" t="s">
        <v>86</v>
      </c>
      <c r="R7" s="21"/>
      <c r="S7" s="21"/>
      <c r="T7" s="21"/>
      <c r="U7" s="21" t="s">
        <v>1</v>
      </c>
      <c r="V7" s="21"/>
      <c r="W7" s="52" t="s">
        <v>100</v>
      </c>
      <c r="X7" s="52"/>
      <c r="Y7" s="52"/>
      <c r="Z7" s="52"/>
      <c r="AA7" s="52" t="s">
        <v>150</v>
      </c>
      <c r="AB7" s="52"/>
      <c r="AC7" s="52" t="s">
        <v>138</v>
      </c>
      <c r="AD7" s="52"/>
      <c r="AE7" s="52" t="s">
        <v>138</v>
      </c>
      <c r="AF7" s="28"/>
      <c r="AG7" s="28"/>
    </row>
    <row r="8" spans="1:33" ht="12.75" customHeight="1">
      <c r="A8" s="53" t="s">
        <v>5</v>
      </c>
      <c r="B8" s="24"/>
      <c r="C8" s="55" t="s">
        <v>186</v>
      </c>
      <c r="D8" s="24"/>
      <c r="E8" s="55" t="s">
        <v>88</v>
      </c>
      <c r="F8" s="24"/>
      <c r="G8" s="55" t="s">
        <v>89</v>
      </c>
      <c r="H8" s="24"/>
      <c r="I8" s="55" t="s">
        <v>90</v>
      </c>
      <c r="J8" s="24"/>
      <c r="K8" s="55" t="s">
        <v>91</v>
      </c>
      <c r="L8" s="24"/>
      <c r="M8" s="55" t="s">
        <v>8</v>
      </c>
      <c r="N8" s="24"/>
      <c r="O8" s="55" t="s">
        <v>166</v>
      </c>
      <c r="P8" s="24"/>
      <c r="Q8" s="55" t="s">
        <v>189</v>
      </c>
      <c r="R8" s="24"/>
      <c r="S8" s="55" t="s">
        <v>105</v>
      </c>
      <c r="T8" s="24"/>
      <c r="U8" s="55" t="s">
        <v>9</v>
      </c>
      <c r="V8" s="24"/>
      <c r="W8" s="20" t="s">
        <v>95</v>
      </c>
      <c r="X8" s="24"/>
      <c r="Y8" s="20" t="s">
        <v>4</v>
      </c>
      <c r="Z8" s="24"/>
      <c r="AA8" s="20" t="s">
        <v>138</v>
      </c>
      <c r="AB8" s="24"/>
      <c r="AC8" s="56">
        <v>40179</v>
      </c>
      <c r="AD8" s="24"/>
      <c r="AE8" s="56">
        <v>40543</v>
      </c>
      <c r="AF8" s="28" t="s">
        <v>206</v>
      </c>
      <c r="AG8" s="28"/>
    </row>
    <row r="9" spans="1:33" ht="12.75" customHeight="1">
      <c r="A9" s="19"/>
      <c r="B9" s="24"/>
      <c r="C9" s="21"/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24"/>
      <c r="Q9" s="21"/>
      <c r="R9" s="24"/>
      <c r="S9" s="21"/>
      <c r="T9" s="24"/>
      <c r="U9" s="21"/>
      <c r="V9" s="24"/>
      <c r="W9" s="21"/>
      <c r="X9" s="24"/>
      <c r="Y9" s="21"/>
      <c r="Z9" s="24"/>
      <c r="AA9" s="21"/>
      <c r="AB9" s="24"/>
      <c r="AC9" s="27"/>
      <c r="AD9" s="24"/>
      <c r="AE9" s="27"/>
      <c r="AF9" s="28"/>
      <c r="AG9" s="28"/>
    </row>
    <row r="10" spans="1:33" ht="12.75" customHeight="1" hidden="1">
      <c r="A10" s="89" t="s">
        <v>237</v>
      </c>
      <c r="B10" s="24"/>
      <c r="C10" s="44">
        <v>2706853</v>
      </c>
      <c r="D10" s="44"/>
      <c r="E10" s="44">
        <v>1300231</v>
      </c>
      <c r="F10" s="44"/>
      <c r="G10" s="44">
        <v>2589003</v>
      </c>
      <c r="H10" s="44"/>
      <c r="I10" s="44">
        <v>6084598</v>
      </c>
      <c r="J10" s="44"/>
      <c r="K10" s="44">
        <v>3215967</v>
      </c>
      <c r="L10" s="44"/>
      <c r="M10" s="44">
        <v>5839170</v>
      </c>
      <c r="N10" s="44"/>
      <c r="O10" s="44">
        <v>0</v>
      </c>
      <c r="P10" s="44"/>
      <c r="Q10" s="44">
        <v>0</v>
      </c>
      <c r="R10" s="44"/>
      <c r="S10" s="44">
        <v>2667665</v>
      </c>
      <c r="T10" s="44"/>
      <c r="U10" s="44">
        <v>0</v>
      </c>
      <c r="V10" s="44"/>
      <c r="W10" s="44">
        <v>218653</v>
      </c>
      <c r="X10" s="44"/>
      <c r="Y10" s="44">
        <f>SUM(C10:W10)</f>
        <v>24622140</v>
      </c>
      <c r="Z10" s="24"/>
      <c r="AA10" s="44">
        <v>1105918</v>
      </c>
      <c r="AB10" s="24"/>
      <c r="AC10" s="44">
        <v>9279395</v>
      </c>
      <c r="AD10" s="24"/>
      <c r="AE10" s="24">
        <f>+AC10+AA10</f>
        <v>10385313</v>
      </c>
      <c r="AF10" s="25">
        <f>+'St of Net Assets - GA'!W10-'St of Activities - GA Exp'!AE10</f>
        <v>0</v>
      </c>
      <c r="AG10" s="28"/>
    </row>
    <row r="11" spans="1:33" ht="12.75" customHeight="1">
      <c r="A11" s="23" t="s">
        <v>13</v>
      </c>
      <c r="B11" s="24"/>
      <c r="C11" s="44">
        <v>12852426</v>
      </c>
      <c r="D11" s="44"/>
      <c r="E11" s="44">
        <v>8780327</v>
      </c>
      <c r="F11" s="44"/>
      <c r="G11" s="44">
        <v>10579107</v>
      </c>
      <c r="H11" s="44"/>
      <c r="I11" s="44">
        <v>11287779</v>
      </c>
      <c r="J11" s="44"/>
      <c r="K11" s="44">
        <v>14285227</v>
      </c>
      <c r="L11" s="44"/>
      <c r="M11" s="44">
        <v>15702366</v>
      </c>
      <c r="N11" s="44"/>
      <c r="O11" s="44">
        <v>0</v>
      </c>
      <c r="P11" s="44"/>
      <c r="Q11" s="44">
        <v>1442441</v>
      </c>
      <c r="R11" s="44"/>
      <c r="S11" s="44">
        <v>54971</v>
      </c>
      <c r="T11" s="44"/>
      <c r="U11" s="44">
        <v>157409</v>
      </c>
      <c r="V11" s="44"/>
      <c r="W11" s="44">
        <v>1125795</v>
      </c>
      <c r="X11" s="44"/>
      <c r="Y11" s="44">
        <f>SUM(C11:W11)</f>
        <v>76267848</v>
      </c>
      <c r="Z11" s="24"/>
      <c r="AA11" s="44">
        <v>-1685184</v>
      </c>
      <c r="AB11" s="24"/>
      <c r="AC11" s="44">
        <v>85418150</v>
      </c>
      <c r="AD11" s="24"/>
      <c r="AE11" s="24">
        <f>+AC11+AA11</f>
        <v>83732966</v>
      </c>
      <c r="AF11" s="25">
        <f>+'St of Net Assets - GA'!W11-'St of Activities - GA Exp'!AE11</f>
        <v>0</v>
      </c>
      <c r="AG11" s="28"/>
    </row>
    <row r="12" spans="1:33" ht="12.75" customHeight="1">
      <c r="A12" s="23" t="s">
        <v>14</v>
      </c>
      <c r="B12" s="24"/>
      <c r="C12" s="24">
        <v>4962843</v>
      </c>
      <c r="D12" s="24"/>
      <c r="E12" s="24">
        <v>1717934</v>
      </c>
      <c r="F12" s="24"/>
      <c r="G12" s="24">
        <f>5847638+273106</f>
        <v>6120744</v>
      </c>
      <c r="H12" s="24"/>
      <c r="I12" s="24">
        <v>5504408</v>
      </c>
      <c r="J12" s="24"/>
      <c r="K12" s="24">
        <f>4118604+6477134+924038</f>
        <v>11519776</v>
      </c>
      <c r="L12" s="24"/>
      <c r="M12" s="24">
        <f>1450775+3514196+1385644</f>
        <v>6350615</v>
      </c>
      <c r="N12" s="24"/>
      <c r="O12" s="24">
        <v>0</v>
      </c>
      <c r="P12" s="24"/>
      <c r="Q12" s="24">
        <v>0</v>
      </c>
      <c r="R12" s="24"/>
      <c r="S12" s="24">
        <v>29804</v>
      </c>
      <c r="T12" s="24"/>
      <c r="U12" s="24">
        <v>211450</v>
      </c>
      <c r="V12" s="24"/>
      <c r="W12" s="24">
        <f>153091</f>
        <v>153091</v>
      </c>
      <c r="X12" s="24"/>
      <c r="Y12" s="24">
        <f aca="true" t="shared" si="0" ref="Y12:Y28">SUM(C12:W12)</f>
        <v>36570665</v>
      </c>
      <c r="Z12" s="24"/>
      <c r="AA12" s="24">
        <v>26216</v>
      </c>
      <c r="AB12" s="24"/>
      <c r="AC12" s="24">
        <v>60379848</v>
      </c>
      <c r="AD12" s="24"/>
      <c r="AE12" s="24">
        <f aca="true" t="shared" si="1" ref="AE12:AE28">+AC12+AA12</f>
        <v>60406064</v>
      </c>
      <c r="AF12" s="25">
        <f>+'St of Net Assets - GA'!W12-'St of Activities - GA Exp'!AE12</f>
        <v>0</v>
      </c>
      <c r="AG12" s="28"/>
    </row>
    <row r="13" spans="1:33" ht="12.75" customHeight="1">
      <c r="A13" s="23" t="s">
        <v>15</v>
      </c>
      <c r="B13" s="24"/>
      <c r="C13" s="24">
        <v>11525818</v>
      </c>
      <c r="D13" s="24"/>
      <c r="E13" s="24">
        <v>4698828</v>
      </c>
      <c r="F13" s="24"/>
      <c r="G13" s="24">
        <v>8047714</v>
      </c>
      <c r="H13" s="24"/>
      <c r="I13" s="24">
        <v>8432453</v>
      </c>
      <c r="J13" s="24"/>
      <c r="K13" s="24">
        <v>28751703</v>
      </c>
      <c r="L13" s="24"/>
      <c r="M13" s="24">
        <v>33479822</v>
      </c>
      <c r="N13" s="24"/>
      <c r="O13" s="24">
        <v>0</v>
      </c>
      <c r="P13" s="24"/>
      <c r="Q13" s="24">
        <v>219965</v>
      </c>
      <c r="R13" s="24"/>
      <c r="S13" s="24">
        <v>0</v>
      </c>
      <c r="T13" s="24"/>
      <c r="U13" s="24">
        <v>0</v>
      </c>
      <c r="V13" s="24"/>
      <c r="W13" s="24">
        <v>189559</v>
      </c>
      <c r="X13" s="24"/>
      <c r="Y13" s="24">
        <f t="shared" si="0"/>
        <v>95345862</v>
      </c>
      <c r="Z13" s="24"/>
      <c r="AA13" s="24">
        <v>1779987</v>
      </c>
      <c r="AB13" s="24"/>
      <c r="AC13" s="24">
        <v>174811976</v>
      </c>
      <c r="AD13" s="24"/>
      <c r="AE13" s="24">
        <f t="shared" si="1"/>
        <v>176591963</v>
      </c>
      <c r="AF13" s="25">
        <f>+'St of Net Assets - GA'!W13-'St of Activities - GA Exp'!AE13</f>
        <v>0</v>
      </c>
      <c r="AG13" s="28"/>
    </row>
    <row r="14" spans="1:33" ht="12.75" customHeight="1">
      <c r="A14" s="23" t="s">
        <v>16</v>
      </c>
      <c r="B14" s="24"/>
      <c r="C14" s="24">
        <v>6480388</v>
      </c>
      <c r="D14" s="24"/>
      <c r="E14" s="24">
        <v>2593333</v>
      </c>
      <c r="F14" s="24"/>
      <c r="G14" s="24">
        <v>5624263</v>
      </c>
      <c r="H14" s="24"/>
      <c r="I14" s="24">
        <v>7592197</v>
      </c>
      <c r="J14" s="24"/>
      <c r="K14" s="24">
        <v>2978477</v>
      </c>
      <c r="L14" s="24"/>
      <c r="M14" s="24">
        <v>29672911</v>
      </c>
      <c r="N14" s="24"/>
      <c r="O14" s="24">
        <v>180400</v>
      </c>
      <c r="P14" s="24"/>
      <c r="Q14" s="24">
        <v>15349</v>
      </c>
      <c r="R14" s="24"/>
      <c r="S14" s="24">
        <v>0</v>
      </c>
      <c r="T14" s="24"/>
      <c r="U14" s="24">
        <v>0</v>
      </c>
      <c r="V14" s="24"/>
      <c r="W14" s="24">
        <v>101649</v>
      </c>
      <c r="X14" s="24"/>
      <c r="Y14" s="24">
        <f t="shared" si="0"/>
        <v>55238967</v>
      </c>
      <c r="Z14" s="24"/>
      <c r="AA14" s="24">
        <v>-2205426</v>
      </c>
      <c r="AB14" s="24"/>
      <c r="AC14" s="24">
        <v>82129415</v>
      </c>
      <c r="AD14" s="24"/>
      <c r="AE14" s="24">
        <f t="shared" si="1"/>
        <v>79923989</v>
      </c>
      <c r="AF14" s="25">
        <f>+'St of Net Assets - GA'!W14-'St of Activities - GA Exp'!AE14</f>
        <v>0</v>
      </c>
      <c r="AG14" s="28"/>
    </row>
    <row r="15" spans="1:33" ht="12.75" customHeight="1">
      <c r="A15" s="23" t="s">
        <v>17</v>
      </c>
      <c r="B15" s="24"/>
      <c r="C15" s="24">
        <v>4790959</v>
      </c>
      <c r="D15" s="24"/>
      <c r="E15" s="24">
        <v>1821894</v>
      </c>
      <c r="F15" s="24"/>
      <c r="G15" s="24">
        <v>5158018</v>
      </c>
      <c r="H15" s="24"/>
      <c r="I15" s="24">
        <v>6972858</v>
      </c>
      <c r="J15" s="24"/>
      <c r="K15" s="24">
        <v>5559173</v>
      </c>
      <c r="L15" s="24"/>
      <c r="M15" s="24">
        <v>3729402</v>
      </c>
      <c r="N15" s="24"/>
      <c r="O15" s="24">
        <v>0</v>
      </c>
      <c r="P15" s="24"/>
      <c r="Q15" s="24">
        <v>0</v>
      </c>
      <c r="R15" s="24"/>
      <c r="S15" s="24">
        <v>1314608</v>
      </c>
      <c r="T15" s="24"/>
      <c r="U15" s="24">
        <v>0</v>
      </c>
      <c r="V15" s="24"/>
      <c r="W15" s="24">
        <v>81012</v>
      </c>
      <c r="X15" s="24"/>
      <c r="Y15" s="24">
        <f t="shared" si="0"/>
        <v>29427924</v>
      </c>
      <c r="Z15" s="24"/>
      <c r="AA15" s="24">
        <v>2615934</v>
      </c>
      <c r="AB15" s="24"/>
      <c r="AC15" s="24">
        <v>65775520</v>
      </c>
      <c r="AD15" s="24"/>
      <c r="AE15" s="24">
        <f t="shared" si="1"/>
        <v>68391454</v>
      </c>
      <c r="AF15" s="25">
        <f>+'St of Net Assets - GA'!W15-'St of Activities - GA Exp'!AE15</f>
        <v>0</v>
      </c>
      <c r="AG15" s="28"/>
    </row>
    <row r="16" spans="1:33" ht="12.75" customHeight="1">
      <c r="A16" s="23" t="s">
        <v>18</v>
      </c>
      <c r="B16" s="24"/>
      <c r="C16" s="24">
        <v>10126540</v>
      </c>
      <c r="D16" s="24"/>
      <c r="E16" s="24">
        <v>3139856</v>
      </c>
      <c r="F16" s="24"/>
      <c r="G16" s="24">
        <v>8428500</v>
      </c>
      <c r="H16" s="24"/>
      <c r="I16" s="24">
        <v>5852073</v>
      </c>
      <c r="J16" s="24"/>
      <c r="K16" s="24">
        <v>11706480</v>
      </c>
      <c r="L16" s="24"/>
      <c r="M16" s="24">
        <v>12589123</v>
      </c>
      <c r="N16" s="24"/>
      <c r="O16" s="24">
        <v>320000</v>
      </c>
      <c r="P16" s="24"/>
      <c r="Q16" s="24">
        <v>0</v>
      </c>
      <c r="R16" s="24"/>
      <c r="S16" s="24">
        <v>0</v>
      </c>
      <c r="T16" s="24"/>
      <c r="U16" s="24">
        <v>0</v>
      </c>
      <c r="V16" s="24"/>
      <c r="W16" s="24">
        <v>366551</v>
      </c>
      <c r="X16" s="24"/>
      <c r="Y16" s="24">
        <f t="shared" si="0"/>
        <v>52529123</v>
      </c>
      <c r="Z16" s="24"/>
      <c r="AA16" s="24">
        <v>694255</v>
      </c>
      <c r="AB16" s="24"/>
      <c r="AC16" s="24">
        <v>100813357</v>
      </c>
      <c r="AD16" s="24"/>
      <c r="AE16" s="24">
        <f>+AC16+AA16</f>
        <v>101507612</v>
      </c>
      <c r="AF16" s="25">
        <f>+'St of Net Assets - GA'!W16-'St of Activities - GA Exp'!AE16</f>
        <v>0</v>
      </c>
      <c r="AG16" s="28"/>
    </row>
    <row r="17" spans="1:33" ht="12.75" customHeight="1" hidden="1">
      <c r="A17" s="23" t="s">
        <v>240</v>
      </c>
      <c r="B17" s="24"/>
      <c r="C17" s="24">
        <v>0</v>
      </c>
      <c r="D17" s="24"/>
      <c r="E17" s="24">
        <v>0</v>
      </c>
      <c r="F17" s="24"/>
      <c r="G17" s="24">
        <v>0</v>
      </c>
      <c r="H17" s="24"/>
      <c r="I17" s="24">
        <v>0</v>
      </c>
      <c r="J17" s="24"/>
      <c r="K17" s="24">
        <v>0</v>
      </c>
      <c r="L17" s="24"/>
      <c r="M17" s="24">
        <v>0</v>
      </c>
      <c r="N17" s="24"/>
      <c r="O17" s="24">
        <v>0</v>
      </c>
      <c r="P17" s="24"/>
      <c r="Q17" s="24">
        <v>0</v>
      </c>
      <c r="R17" s="24"/>
      <c r="S17" s="24">
        <v>0</v>
      </c>
      <c r="T17" s="24"/>
      <c r="U17" s="24">
        <v>0</v>
      </c>
      <c r="V17" s="24"/>
      <c r="W17" s="24">
        <v>0</v>
      </c>
      <c r="X17" s="24"/>
      <c r="Y17" s="24">
        <f t="shared" si="0"/>
        <v>0</v>
      </c>
      <c r="Z17" s="24"/>
      <c r="AA17" s="24">
        <v>0</v>
      </c>
      <c r="AB17" s="24"/>
      <c r="AC17" s="24">
        <v>0</v>
      </c>
      <c r="AD17" s="24"/>
      <c r="AE17" s="24">
        <f t="shared" si="1"/>
        <v>0</v>
      </c>
      <c r="AF17" s="25">
        <f>+'St of Net Assets - GA'!W17-'St of Activities - GA Exp'!AE17</f>
        <v>0</v>
      </c>
      <c r="AG17" s="28"/>
    </row>
    <row r="18" spans="1:33" ht="12.75" customHeight="1">
      <c r="A18" s="23" t="s">
        <v>238</v>
      </c>
      <c r="B18" s="24"/>
      <c r="C18" s="24">
        <v>29955984</v>
      </c>
      <c r="D18" s="24"/>
      <c r="E18" s="24">
        <v>16189897</v>
      </c>
      <c r="F18" s="24"/>
      <c r="G18" s="24">
        <v>41089596</v>
      </c>
      <c r="H18" s="24"/>
      <c r="I18" s="24">
        <v>25701107</v>
      </c>
      <c r="J18" s="24"/>
      <c r="K18" s="24">
        <v>62355137</v>
      </c>
      <c r="L18" s="24"/>
      <c r="M18" s="24">
        <v>72649003</v>
      </c>
      <c r="N18" s="24"/>
      <c r="O18" s="24">
        <v>0</v>
      </c>
      <c r="P18" s="24"/>
      <c r="Q18" s="24">
        <v>593168</v>
      </c>
      <c r="R18" s="24"/>
      <c r="S18" s="24">
        <v>11860</v>
      </c>
      <c r="T18" s="24"/>
      <c r="U18" s="24">
        <v>4710532</v>
      </c>
      <c r="V18" s="24"/>
      <c r="W18" s="24">
        <v>4884161</v>
      </c>
      <c r="X18" s="24"/>
      <c r="Y18" s="24">
        <f t="shared" si="0"/>
        <v>258140445</v>
      </c>
      <c r="Z18" s="24"/>
      <c r="AA18" s="24">
        <v>367727</v>
      </c>
      <c r="AB18" s="24"/>
      <c r="AC18" s="24">
        <v>441100889</v>
      </c>
      <c r="AD18" s="24"/>
      <c r="AE18" s="24">
        <f t="shared" si="1"/>
        <v>441468616</v>
      </c>
      <c r="AF18" s="25">
        <f>+'St of Net Assets - GA'!W18-'St of Activities - GA Exp'!AE18</f>
        <v>0</v>
      </c>
      <c r="AG18" s="28"/>
    </row>
    <row r="19" spans="1:33" ht="12.75" customHeight="1">
      <c r="A19" s="23" t="s">
        <v>20</v>
      </c>
      <c r="B19" s="24"/>
      <c r="C19" s="24">
        <v>2321687</v>
      </c>
      <c r="D19" s="24"/>
      <c r="E19" s="24">
        <v>1123593</v>
      </c>
      <c r="F19" s="24"/>
      <c r="G19" s="24">
        <v>2165118</v>
      </c>
      <c r="H19" s="24"/>
      <c r="I19" s="24">
        <v>4566501</v>
      </c>
      <c r="J19" s="24"/>
      <c r="K19" s="24">
        <v>4684930</v>
      </c>
      <c r="L19" s="24"/>
      <c r="M19" s="24">
        <v>6109601</v>
      </c>
      <c r="N19" s="24"/>
      <c r="O19" s="24">
        <f>729267+585498</f>
        <v>1314765</v>
      </c>
      <c r="P19" s="24"/>
      <c r="Q19" s="24">
        <v>0</v>
      </c>
      <c r="R19" s="24"/>
      <c r="S19" s="24">
        <v>1193273</v>
      </c>
      <c r="T19" s="24"/>
      <c r="U19" s="24">
        <v>0</v>
      </c>
      <c r="V19" s="24"/>
      <c r="W19" s="24">
        <v>37924</v>
      </c>
      <c r="X19" s="24"/>
      <c r="Y19" s="24">
        <f t="shared" si="0"/>
        <v>23517392</v>
      </c>
      <c r="Z19" s="24"/>
      <c r="AA19" s="24">
        <v>2572782</v>
      </c>
      <c r="AB19" s="24"/>
      <c r="AC19" s="24">
        <v>18412958</v>
      </c>
      <c r="AD19" s="24"/>
      <c r="AE19" s="24">
        <f t="shared" si="1"/>
        <v>20985740</v>
      </c>
      <c r="AF19" s="25">
        <f>+'St of Net Assets - GA'!W19-'St of Activities - GA Exp'!AE19</f>
        <v>0</v>
      </c>
      <c r="AG19" s="29"/>
    </row>
    <row r="20" spans="1:33" ht="12.75" customHeight="1" hidden="1">
      <c r="A20" s="23" t="s">
        <v>173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0</v>
      </c>
      <c r="P20" s="24"/>
      <c r="Q20" s="24">
        <v>0</v>
      </c>
      <c r="R20" s="24"/>
      <c r="S20" s="24">
        <v>0</v>
      </c>
      <c r="T20" s="24"/>
      <c r="U20" s="24">
        <v>0</v>
      </c>
      <c r="V20" s="24"/>
      <c r="W20" s="24">
        <v>0</v>
      </c>
      <c r="X20" s="24"/>
      <c r="Y20" s="24">
        <f t="shared" si="0"/>
        <v>0</v>
      </c>
      <c r="Z20" s="24"/>
      <c r="AA20" s="24">
        <v>0</v>
      </c>
      <c r="AB20" s="24"/>
      <c r="AC20" s="24">
        <v>0</v>
      </c>
      <c r="AD20" s="24"/>
      <c r="AE20" s="24">
        <f t="shared" si="1"/>
        <v>0</v>
      </c>
      <c r="AF20" s="25">
        <f>+'St of Net Assets - GA'!W20-'St of Activities - GA Exp'!AE20</f>
        <v>0</v>
      </c>
      <c r="AG20" s="28"/>
    </row>
    <row r="21" spans="1:33" ht="12.75" customHeight="1">
      <c r="A21" s="23" t="s">
        <v>21</v>
      </c>
      <c r="B21" s="24"/>
      <c r="C21" s="24">
        <v>9986129</v>
      </c>
      <c r="D21" s="24"/>
      <c r="E21" s="24">
        <v>13649222</v>
      </c>
      <c r="F21" s="24"/>
      <c r="G21" s="24">
        <v>15650852</v>
      </c>
      <c r="H21" s="24"/>
      <c r="I21" s="24">
        <v>14023453</v>
      </c>
      <c r="J21" s="24"/>
      <c r="K21" s="24">
        <v>27554583</v>
      </c>
      <c r="L21" s="24"/>
      <c r="M21" s="24">
        <v>38657686</v>
      </c>
      <c r="N21" s="24"/>
      <c r="O21" s="24">
        <v>0</v>
      </c>
      <c r="P21" s="24"/>
      <c r="Q21" s="24">
        <v>1348005</v>
      </c>
      <c r="R21" s="24"/>
      <c r="S21" s="24">
        <v>0</v>
      </c>
      <c r="T21" s="24"/>
      <c r="U21" s="24">
        <v>0</v>
      </c>
      <c r="V21" s="24"/>
      <c r="W21" s="24">
        <v>633765</v>
      </c>
      <c r="X21" s="24"/>
      <c r="Y21" s="24">
        <f t="shared" si="0"/>
        <v>121503695</v>
      </c>
      <c r="Z21" s="24"/>
      <c r="AA21" s="24">
        <v>-3940518</v>
      </c>
      <c r="AB21" s="24"/>
      <c r="AC21" s="24">
        <v>136688538</v>
      </c>
      <c r="AD21" s="24"/>
      <c r="AE21" s="24">
        <f t="shared" si="1"/>
        <v>132748020</v>
      </c>
      <c r="AF21" s="25">
        <f>+'St of Net Assets - GA'!W21-'St of Activities - GA Exp'!AE21</f>
        <v>0</v>
      </c>
      <c r="AG21" s="28"/>
    </row>
    <row r="22" spans="1:33" ht="12.75" customHeight="1">
      <c r="A22" s="23" t="s">
        <v>181</v>
      </c>
      <c r="B22" s="24"/>
      <c r="C22" s="24">
        <v>19921084</v>
      </c>
      <c r="D22" s="24"/>
      <c r="E22" s="24">
        <v>11067269</v>
      </c>
      <c r="F22" s="24"/>
      <c r="G22" s="24">
        <v>27108436</v>
      </c>
      <c r="H22" s="24"/>
      <c r="I22" s="24">
        <v>15137153</v>
      </c>
      <c r="J22" s="24"/>
      <c r="K22" s="24">
        <v>1236885</v>
      </c>
      <c r="L22" s="24"/>
      <c r="M22" s="24">
        <v>29356890</v>
      </c>
      <c r="N22" s="24"/>
      <c r="O22" s="24">
        <f>3992968+4534778</f>
        <v>8527746</v>
      </c>
      <c r="P22" s="24"/>
      <c r="Q22" s="24">
        <v>0</v>
      </c>
      <c r="R22" s="24"/>
      <c r="S22" s="24">
        <v>3549947</v>
      </c>
      <c r="T22" s="24"/>
      <c r="U22" s="24">
        <v>0</v>
      </c>
      <c r="V22" s="24"/>
      <c r="W22" s="24">
        <v>631181</v>
      </c>
      <c r="X22" s="24"/>
      <c r="Y22" s="24">
        <f t="shared" si="0"/>
        <v>116536591</v>
      </c>
      <c r="Z22" s="24"/>
      <c r="AA22" s="24">
        <v>-366086</v>
      </c>
      <c r="AB22" s="24"/>
      <c r="AC22" s="24">
        <v>217356098</v>
      </c>
      <c r="AD22" s="24"/>
      <c r="AE22" s="24">
        <f t="shared" si="1"/>
        <v>216990012</v>
      </c>
      <c r="AF22" s="25">
        <f>+'St of Net Assets - GA'!W22-'St of Activities - GA Exp'!AE22</f>
        <v>0</v>
      </c>
      <c r="AG22" s="28"/>
    </row>
    <row r="23" spans="1:33" ht="12.75" customHeight="1">
      <c r="A23" s="23" t="s">
        <v>22</v>
      </c>
      <c r="B23" s="24"/>
      <c r="C23" s="24">
        <v>6486469</v>
      </c>
      <c r="D23" s="24"/>
      <c r="E23" s="24">
        <v>2690704</v>
      </c>
      <c r="F23" s="24"/>
      <c r="G23" s="24">
        <v>4653320</v>
      </c>
      <c r="H23" s="24"/>
      <c r="I23" s="24">
        <v>5731107</v>
      </c>
      <c r="J23" s="24"/>
      <c r="K23" s="24">
        <v>3965762</v>
      </c>
      <c r="L23" s="24"/>
      <c r="M23" s="24">
        <v>9684594</v>
      </c>
      <c r="N23" s="24"/>
      <c r="O23" s="24">
        <v>312332</v>
      </c>
      <c r="P23" s="24"/>
      <c r="Q23" s="24">
        <v>21833</v>
      </c>
      <c r="R23" s="24"/>
      <c r="S23" s="24">
        <v>549812</v>
      </c>
      <c r="T23" s="24"/>
      <c r="U23" s="24">
        <v>0</v>
      </c>
      <c r="V23" s="24"/>
      <c r="W23" s="24">
        <v>452733</v>
      </c>
      <c r="X23" s="24"/>
      <c r="Y23" s="24">
        <f t="shared" si="0"/>
        <v>34548666</v>
      </c>
      <c r="Z23" s="24"/>
      <c r="AA23" s="24">
        <v>44554941</v>
      </c>
      <c r="AB23" s="24"/>
      <c r="AC23" s="24">
        <v>59481764</v>
      </c>
      <c r="AD23" s="24"/>
      <c r="AE23" s="24">
        <f t="shared" si="1"/>
        <v>104036705</v>
      </c>
      <c r="AF23" s="25">
        <f>+'St of Net Assets - GA'!W23-'St of Activities - GA Exp'!AE23</f>
        <v>0</v>
      </c>
      <c r="AG23" s="28"/>
    </row>
    <row r="24" spans="1:33" ht="12.75" customHeight="1" hidden="1">
      <c r="A24" s="23" t="s">
        <v>23</v>
      </c>
      <c r="B24" s="24"/>
      <c r="C24" s="24"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0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v>0</v>
      </c>
      <c r="T24" s="24"/>
      <c r="U24" s="24">
        <v>0</v>
      </c>
      <c r="V24" s="24"/>
      <c r="W24" s="24">
        <v>0</v>
      </c>
      <c r="X24" s="24"/>
      <c r="Y24" s="24">
        <f t="shared" si="0"/>
        <v>0</v>
      </c>
      <c r="Z24" s="24"/>
      <c r="AA24" s="24">
        <v>0</v>
      </c>
      <c r="AB24" s="24"/>
      <c r="AC24" s="24">
        <v>0</v>
      </c>
      <c r="AD24" s="24"/>
      <c r="AE24" s="24">
        <f t="shared" si="1"/>
        <v>0</v>
      </c>
      <c r="AF24" s="25">
        <f>+'St of Net Assets - GA'!W24-'St of Activities - GA Exp'!AE24</f>
        <v>0</v>
      </c>
      <c r="AG24" s="28"/>
    </row>
    <row r="25" spans="1:33" ht="12.75" customHeight="1">
      <c r="A25" s="23" t="s">
        <v>24</v>
      </c>
      <c r="B25" s="24"/>
      <c r="C25" s="24">
        <v>3432775</v>
      </c>
      <c r="D25" s="24"/>
      <c r="E25" s="24">
        <v>1769711</v>
      </c>
      <c r="F25" s="24"/>
      <c r="G25" s="24">
        <v>5138232</v>
      </c>
      <c r="H25" s="24"/>
      <c r="I25" s="24">
        <v>7776260</v>
      </c>
      <c r="J25" s="24"/>
      <c r="K25" s="24">
        <v>9374074</v>
      </c>
      <c r="L25" s="24"/>
      <c r="M25" s="24">
        <v>9302126</v>
      </c>
      <c r="N25" s="24"/>
      <c r="O25" s="24">
        <v>0</v>
      </c>
      <c r="P25" s="24"/>
      <c r="Q25" s="24">
        <v>155711</v>
      </c>
      <c r="R25" s="24"/>
      <c r="S25" s="24">
        <v>394795</v>
      </c>
      <c r="T25" s="24"/>
      <c r="U25" s="24">
        <v>0</v>
      </c>
      <c r="V25" s="24"/>
      <c r="W25" s="24">
        <v>185389</v>
      </c>
      <c r="X25" s="24"/>
      <c r="Y25" s="24">
        <f t="shared" si="0"/>
        <v>37529073</v>
      </c>
      <c r="Z25" s="24"/>
      <c r="AA25" s="24">
        <v>1290497</v>
      </c>
      <c r="AB25" s="24"/>
      <c r="AC25" s="24">
        <v>39164947</v>
      </c>
      <c r="AD25" s="24"/>
      <c r="AE25" s="24">
        <f t="shared" si="1"/>
        <v>40455444</v>
      </c>
      <c r="AF25" s="25">
        <f>+'St of Net Assets - GA'!W25-'St of Activities - GA Exp'!AE25</f>
        <v>0</v>
      </c>
      <c r="AG25" s="28"/>
    </row>
    <row r="26" spans="1:33" ht="12.75" customHeight="1">
      <c r="A26" s="23" t="s">
        <v>179</v>
      </c>
      <c r="B26" s="24"/>
      <c r="C26" s="24">
        <v>4484199</v>
      </c>
      <c r="D26" s="24"/>
      <c r="E26" s="24">
        <v>2316244</v>
      </c>
      <c r="F26" s="24"/>
      <c r="G26" s="24">
        <f>99629+2056087+3689988</f>
        <v>5845704</v>
      </c>
      <c r="H26" s="24"/>
      <c r="I26" s="24">
        <v>5288315</v>
      </c>
      <c r="J26" s="24"/>
      <c r="K26" s="24">
        <f>4273533+1683309+825108</f>
        <v>6781950</v>
      </c>
      <c r="L26" s="24"/>
      <c r="M26" s="24">
        <f>1895790+1374944+5940657+2204258</f>
        <v>11415649</v>
      </c>
      <c r="N26" s="24"/>
      <c r="O26" s="24">
        <v>657676</v>
      </c>
      <c r="P26" s="24"/>
      <c r="Q26" s="24">
        <v>0</v>
      </c>
      <c r="R26" s="24"/>
      <c r="S26" s="24">
        <v>0</v>
      </c>
      <c r="T26" s="24"/>
      <c r="U26" s="24">
        <v>0</v>
      </c>
      <c r="V26" s="24"/>
      <c r="W26" s="24">
        <v>782277</v>
      </c>
      <c r="X26" s="24"/>
      <c r="Y26" s="24">
        <f t="shared" si="0"/>
        <v>37572014</v>
      </c>
      <c r="Z26" s="24"/>
      <c r="AA26" s="24">
        <v>7566755</v>
      </c>
      <c r="AB26" s="24"/>
      <c r="AC26" s="24">
        <v>55711685</v>
      </c>
      <c r="AD26" s="24"/>
      <c r="AE26" s="24">
        <f t="shared" si="1"/>
        <v>63278440</v>
      </c>
      <c r="AF26" s="25">
        <f>+'St of Net Assets - GA'!W26-'St of Activities - GA Exp'!AE26</f>
        <v>0</v>
      </c>
      <c r="AG26" s="28"/>
    </row>
    <row r="27" spans="1:33" ht="12.75" customHeight="1">
      <c r="A27" s="23" t="s">
        <v>25</v>
      </c>
      <c r="B27" s="24"/>
      <c r="C27" s="24">
        <f>91649*1000</f>
        <v>91649000</v>
      </c>
      <c r="D27" s="24"/>
      <c r="E27" s="24">
        <f>351593*1000</f>
        <v>351593000</v>
      </c>
      <c r="F27" s="24"/>
      <c r="G27" s="24">
        <v>0</v>
      </c>
      <c r="H27" s="24"/>
      <c r="I27" s="24">
        <f>46541*1000</f>
        <v>46541000</v>
      </c>
      <c r="J27" s="24"/>
      <c r="K27" s="24">
        <f>223498*1000</f>
        <v>223498000</v>
      </c>
      <c r="L27" s="24"/>
      <c r="M27" s="24">
        <f>664149*1000</f>
        <v>664149000</v>
      </c>
      <c r="N27" s="24"/>
      <c r="O27" s="24">
        <f>51011*1000</f>
        <v>51011000</v>
      </c>
      <c r="P27" s="24"/>
      <c r="Q27" s="24">
        <v>0</v>
      </c>
      <c r="R27" s="24"/>
      <c r="S27" s="24">
        <v>0</v>
      </c>
      <c r="T27" s="24"/>
      <c r="U27" s="24">
        <v>0</v>
      </c>
      <c r="V27" s="24"/>
      <c r="W27" s="24">
        <f>16724*1000</f>
        <v>16724000</v>
      </c>
      <c r="X27" s="24"/>
      <c r="Y27" s="24">
        <f>SUM(C27:W27)</f>
        <v>1445165000</v>
      </c>
      <c r="Z27" s="24"/>
      <c r="AA27" s="24">
        <f>6170*1000</f>
        <v>6170000</v>
      </c>
      <c r="AB27" s="24"/>
      <c r="AC27" s="24">
        <f>758419*1000</f>
        <v>758419000</v>
      </c>
      <c r="AD27" s="24"/>
      <c r="AE27" s="24">
        <f>764589*1000</f>
        <v>764589000</v>
      </c>
      <c r="AF27" s="25">
        <f>+'St of Net Assets - GA'!W27-'St of Activities - GA Exp'!AE27</f>
        <v>0</v>
      </c>
      <c r="AG27" s="28"/>
    </row>
    <row r="28" spans="1:33" ht="12.75" customHeight="1" hidden="1">
      <c r="A28" s="133" t="s">
        <v>252</v>
      </c>
      <c r="B28" s="24"/>
      <c r="C28" s="24">
        <v>0</v>
      </c>
      <c r="D28" s="24"/>
      <c r="E28" s="24">
        <v>0</v>
      </c>
      <c r="F28" s="24"/>
      <c r="G28" s="24">
        <v>0</v>
      </c>
      <c r="H28" s="24"/>
      <c r="I28" s="24">
        <v>0</v>
      </c>
      <c r="J28" s="24"/>
      <c r="K28" s="24">
        <v>0</v>
      </c>
      <c r="L28" s="24"/>
      <c r="M28" s="24">
        <v>0</v>
      </c>
      <c r="N28" s="24"/>
      <c r="O28" s="24">
        <v>0</v>
      </c>
      <c r="P28" s="24"/>
      <c r="Q28" s="24">
        <v>0</v>
      </c>
      <c r="R28" s="24"/>
      <c r="S28" s="24">
        <v>0</v>
      </c>
      <c r="T28" s="24"/>
      <c r="U28" s="24">
        <v>0</v>
      </c>
      <c r="V28" s="24"/>
      <c r="W28" s="24">
        <v>0</v>
      </c>
      <c r="X28" s="24"/>
      <c r="Y28" s="24">
        <f t="shared" si="0"/>
        <v>0</v>
      </c>
      <c r="Z28" s="24"/>
      <c r="AA28" s="24">
        <v>0</v>
      </c>
      <c r="AB28" s="24"/>
      <c r="AC28" s="24">
        <v>0</v>
      </c>
      <c r="AD28" s="24"/>
      <c r="AE28" s="24">
        <f t="shared" si="1"/>
        <v>0</v>
      </c>
      <c r="AF28" s="25">
        <f>+'St of Net Assets - GA'!W28-'St of Activities - GA Exp'!AE28</f>
        <v>0</v>
      </c>
      <c r="AG28" s="28"/>
    </row>
    <row r="29" spans="1:33" ht="12.75" customHeight="1">
      <c r="A29" s="23" t="s">
        <v>27</v>
      </c>
      <c r="B29" s="24"/>
      <c r="C29" s="24">
        <v>5975966</v>
      </c>
      <c r="D29" s="24"/>
      <c r="E29" s="24">
        <v>1609094</v>
      </c>
      <c r="F29" s="24"/>
      <c r="G29" s="24">
        <v>4498335</v>
      </c>
      <c r="H29" s="24"/>
      <c r="I29" s="24">
        <v>5613669</v>
      </c>
      <c r="J29" s="24"/>
      <c r="K29" s="24">
        <v>4857956</v>
      </c>
      <c r="L29" s="24"/>
      <c r="M29" s="24">
        <v>5394850</v>
      </c>
      <c r="N29" s="24"/>
      <c r="O29" s="24">
        <v>388007</v>
      </c>
      <c r="P29" s="24"/>
      <c r="Q29" s="24">
        <v>2149</v>
      </c>
      <c r="R29" s="24"/>
      <c r="S29" s="24">
        <v>0</v>
      </c>
      <c r="T29" s="24"/>
      <c r="U29" s="24">
        <v>0</v>
      </c>
      <c r="V29" s="24"/>
      <c r="W29" s="24">
        <v>192224</v>
      </c>
      <c r="X29" s="24"/>
      <c r="Y29" s="24">
        <f aca="true" t="shared" si="2" ref="Y29:Y93">SUM(C29:W29)</f>
        <v>28532250</v>
      </c>
      <c r="Z29" s="24"/>
      <c r="AA29" s="24">
        <f>-1101482</f>
        <v>-1101482</v>
      </c>
      <c r="AB29" s="24"/>
      <c r="AC29" s="24">
        <v>85733087</v>
      </c>
      <c r="AD29" s="24"/>
      <c r="AE29" s="24">
        <f aca="true" t="shared" si="3" ref="AE29:AE44">+AC29+AA29</f>
        <v>84631605</v>
      </c>
      <c r="AF29" s="25">
        <f>+'St of Net Assets - GA'!W29-'St of Activities - GA Exp'!AE29</f>
        <v>0</v>
      </c>
      <c r="AG29" s="28"/>
    </row>
    <row r="30" spans="1:33" ht="12.75" customHeight="1">
      <c r="A30" s="23" t="s">
        <v>28</v>
      </c>
      <c r="B30" s="24"/>
      <c r="C30" s="24">
        <v>16638122</v>
      </c>
      <c r="D30" s="24"/>
      <c r="E30" s="24">
        <v>9460900</v>
      </c>
      <c r="F30" s="24"/>
      <c r="G30" s="24">
        <f>5832755+9262490+17574801+3507150</f>
        <v>36177196</v>
      </c>
      <c r="H30" s="24"/>
      <c r="I30" s="24">
        <v>17232200</v>
      </c>
      <c r="J30" s="24"/>
      <c r="K30" s="24">
        <f>16962053+250000</f>
        <v>17212053</v>
      </c>
      <c r="L30" s="24"/>
      <c r="M30" s="24">
        <f>6649263+1485059+1492098+753755</f>
        <v>10380175</v>
      </c>
      <c r="N30" s="24"/>
      <c r="O30" s="24">
        <v>0</v>
      </c>
      <c r="P30" s="24"/>
      <c r="Q30" s="24">
        <f>463389+307715</f>
        <v>771104</v>
      </c>
      <c r="R30" s="24"/>
      <c r="S30" s="24">
        <v>0</v>
      </c>
      <c r="T30" s="24"/>
      <c r="U30" s="24">
        <v>0</v>
      </c>
      <c r="V30" s="24"/>
      <c r="W30" s="24">
        <v>3338841</v>
      </c>
      <c r="X30" s="24"/>
      <c r="Y30" s="24">
        <f t="shared" si="2"/>
        <v>111210591</v>
      </c>
      <c r="Z30" s="24"/>
      <c r="AA30" s="24">
        <v>10670817</v>
      </c>
      <c r="AB30" s="24"/>
      <c r="AC30" s="24">
        <v>228791782</v>
      </c>
      <c r="AD30" s="24"/>
      <c r="AE30" s="24">
        <f t="shared" si="3"/>
        <v>239462599</v>
      </c>
      <c r="AF30" s="25">
        <f>+'St of Net Assets - GA'!W30-'St of Activities - GA Exp'!AE30</f>
        <v>0</v>
      </c>
      <c r="AG30" s="28"/>
    </row>
    <row r="31" spans="1:33" ht="12.75" customHeight="1">
      <c r="A31" s="23" t="s">
        <v>29</v>
      </c>
      <c r="B31" s="24"/>
      <c r="C31" s="24">
        <v>13755462</v>
      </c>
      <c r="D31" s="24"/>
      <c r="E31" s="24">
        <f>7382775+1416660+656263</f>
        <v>9455698</v>
      </c>
      <c r="F31" s="24"/>
      <c r="G31" s="24">
        <f>9070483+437808</f>
        <v>9508291</v>
      </c>
      <c r="H31" s="24"/>
      <c r="I31" s="24">
        <v>5623471</v>
      </c>
      <c r="J31" s="24"/>
      <c r="K31" s="24">
        <f>6982239+1298836</f>
        <v>8281075</v>
      </c>
      <c r="L31" s="24"/>
      <c r="M31" s="24">
        <f>1303552+6454351+1821361</f>
        <v>9579264</v>
      </c>
      <c r="N31" s="24"/>
      <c r="O31" s="24">
        <v>2241277</v>
      </c>
      <c r="P31" s="24"/>
      <c r="Q31" s="24">
        <v>0</v>
      </c>
      <c r="R31" s="24"/>
      <c r="S31" s="24">
        <v>0</v>
      </c>
      <c r="T31" s="24"/>
      <c r="U31" s="24">
        <v>0</v>
      </c>
      <c r="V31" s="24"/>
      <c r="W31" s="24">
        <v>706418</v>
      </c>
      <c r="X31" s="24"/>
      <c r="Y31" s="24">
        <f t="shared" si="2"/>
        <v>59150956</v>
      </c>
      <c r="Z31" s="24"/>
      <c r="AA31" s="24">
        <v>3280871</v>
      </c>
      <c r="AB31" s="24"/>
      <c r="AC31" s="24">
        <v>77469716</v>
      </c>
      <c r="AD31" s="24"/>
      <c r="AE31" s="24">
        <f t="shared" si="3"/>
        <v>80750587</v>
      </c>
      <c r="AF31" s="25">
        <f>+'St of Net Assets - GA'!W31-'St of Activities - GA Exp'!AE31</f>
        <v>0</v>
      </c>
      <c r="AG31" s="28"/>
    </row>
    <row r="32" spans="1:33" ht="12.75" customHeight="1">
      <c r="A32" s="23" t="s">
        <v>30</v>
      </c>
      <c r="B32" s="24"/>
      <c r="C32" s="24">
        <v>11632207</v>
      </c>
      <c r="D32" s="24"/>
      <c r="E32" s="24">
        <f>1635496+6469930</f>
        <v>8105426</v>
      </c>
      <c r="F32" s="24"/>
      <c r="G32" s="24">
        <f>16213798+156008</f>
        <v>16369806</v>
      </c>
      <c r="H32" s="24"/>
      <c r="I32" s="24">
        <v>11200993</v>
      </c>
      <c r="J32" s="24"/>
      <c r="K32" s="24">
        <v>24015477</v>
      </c>
      <c r="L32" s="24"/>
      <c r="M32" s="24">
        <v>21510978</v>
      </c>
      <c r="N32" s="24"/>
      <c r="O32" s="24">
        <f>1358860+269026+291787</f>
        <v>1919673</v>
      </c>
      <c r="P32" s="24"/>
      <c r="Q32" s="24">
        <v>0</v>
      </c>
      <c r="R32" s="24"/>
      <c r="S32" s="24">
        <v>0</v>
      </c>
      <c r="T32" s="24"/>
      <c r="U32" s="24">
        <v>0</v>
      </c>
      <c r="V32" s="24"/>
      <c r="W32" s="24">
        <v>683007</v>
      </c>
      <c r="X32" s="24"/>
      <c r="Y32" s="24">
        <f t="shared" si="2"/>
        <v>95437567</v>
      </c>
      <c r="Z32" s="24"/>
      <c r="AA32" s="24">
        <v>6159925</v>
      </c>
      <c r="AB32" s="24"/>
      <c r="AC32" s="24">
        <v>218673617</v>
      </c>
      <c r="AD32" s="24"/>
      <c r="AE32" s="24">
        <f t="shared" si="3"/>
        <v>224833542</v>
      </c>
      <c r="AF32" s="25">
        <f>+'St of Net Assets - GA'!W32-'St of Activities - GA Exp'!AE32</f>
        <v>0</v>
      </c>
      <c r="AG32" s="28"/>
    </row>
    <row r="33" spans="1:33" ht="12.75" customHeight="1" hidden="1">
      <c r="A33" s="23" t="s">
        <v>239</v>
      </c>
      <c r="B33" s="24"/>
      <c r="C33" s="24">
        <v>0</v>
      </c>
      <c r="D33" s="24"/>
      <c r="E33" s="24">
        <v>0</v>
      </c>
      <c r="F33" s="24"/>
      <c r="G33" s="24">
        <v>0</v>
      </c>
      <c r="H33" s="24"/>
      <c r="I33" s="24">
        <v>0</v>
      </c>
      <c r="J33" s="24"/>
      <c r="K33" s="24">
        <v>0</v>
      </c>
      <c r="L33" s="24"/>
      <c r="M33" s="24">
        <v>0</v>
      </c>
      <c r="N33" s="24"/>
      <c r="O33" s="24">
        <v>0</v>
      </c>
      <c r="P33" s="24"/>
      <c r="Q33" s="24">
        <v>0</v>
      </c>
      <c r="R33" s="24"/>
      <c r="S33" s="24">
        <v>0</v>
      </c>
      <c r="T33" s="24"/>
      <c r="U33" s="24">
        <v>0</v>
      </c>
      <c r="V33" s="24"/>
      <c r="W33" s="24">
        <v>0</v>
      </c>
      <c r="X33" s="24"/>
      <c r="Y33" s="24">
        <f t="shared" si="2"/>
        <v>0</v>
      </c>
      <c r="Z33" s="24"/>
      <c r="AA33" s="24">
        <v>0</v>
      </c>
      <c r="AB33" s="24"/>
      <c r="AC33" s="24">
        <v>0</v>
      </c>
      <c r="AD33" s="24"/>
      <c r="AE33" s="24">
        <f t="shared" si="3"/>
        <v>0</v>
      </c>
      <c r="AF33" s="25">
        <f>+'St of Net Assets - GA'!W33-'St of Activities - GA Exp'!AE33</f>
        <v>0</v>
      </c>
      <c r="AG33" s="28"/>
    </row>
    <row r="34" spans="1:33" ht="12.75" customHeight="1">
      <c r="A34" s="23" t="s">
        <v>32</v>
      </c>
      <c r="B34" s="24"/>
      <c r="C34" s="24">
        <f>119360*1000</f>
        <v>119360000</v>
      </c>
      <c r="D34" s="24"/>
      <c r="E34" s="24">
        <f>72112*1000</f>
        <v>72112000</v>
      </c>
      <c r="F34" s="24"/>
      <c r="G34" s="24">
        <f>142062*1000</f>
        <v>142062000</v>
      </c>
      <c r="H34" s="24"/>
      <c r="I34" s="24">
        <f>37187*1000</f>
        <v>37187000</v>
      </c>
      <c r="J34" s="24"/>
      <c r="K34" s="24">
        <f>361609*1000</f>
        <v>361609000</v>
      </c>
      <c r="L34" s="24"/>
      <c r="M34" s="24">
        <f>306335*1000</f>
        <v>306335000</v>
      </c>
      <c r="N34" s="24"/>
      <c r="O34" s="24">
        <f>8539*1000</f>
        <v>8539000</v>
      </c>
      <c r="P34" s="24"/>
      <c r="Q34" s="24">
        <f>20676*1000</f>
        <v>20676000</v>
      </c>
      <c r="R34" s="24"/>
      <c r="S34" s="24">
        <v>0</v>
      </c>
      <c r="T34" s="24"/>
      <c r="U34" s="24">
        <v>0</v>
      </c>
      <c r="V34" s="24"/>
      <c r="W34" s="24">
        <f>13791*1000</f>
        <v>13791000</v>
      </c>
      <c r="X34" s="24"/>
      <c r="Y34" s="24">
        <f t="shared" si="2"/>
        <v>1081671000</v>
      </c>
      <c r="Z34" s="24"/>
      <c r="AA34" s="24">
        <f>86932*1000</f>
        <v>86932000</v>
      </c>
      <c r="AB34" s="24"/>
      <c r="AC34" s="24">
        <f>1105472*1000</f>
        <v>1105472000</v>
      </c>
      <c r="AD34" s="24"/>
      <c r="AE34" s="24">
        <f t="shared" si="3"/>
        <v>1192404000</v>
      </c>
      <c r="AF34" s="25">
        <f>+'St of Net Assets - GA'!W34-'St of Activities - GA Exp'!AE34</f>
        <v>0</v>
      </c>
      <c r="AG34" s="28"/>
    </row>
    <row r="35" spans="1:33" ht="12.75" customHeight="1">
      <c r="A35" s="23" t="s">
        <v>33</v>
      </c>
      <c r="B35" s="24"/>
      <c r="C35" s="24">
        <v>4528348</v>
      </c>
      <c r="D35" s="24"/>
      <c r="E35" s="24">
        <v>1911260</v>
      </c>
      <c r="F35" s="24"/>
      <c r="G35" s="24">
        <v>6761938</v>
      </c>
      <c r="H35" s="24"/>
      <c r="I35" s="24">
        <v>4580614</v>
      </c>
      <c r="J35" s="24"/>
      <c r="K35" s="24">
        <v>5422171</v>
      </c>
      <c r="L35" s="24"/>
      <c r="M35" s="24">
        <v>4858005</v>
      </c>
      <c r="N35" s="24"/>
      <c r="O35" s="24">
        <v>2617460</v>
      </c>
      <c r="P35" s="24"/>
      <c r="Q35" s="24">
        <v>0</v>
      </c>
      <c r="R35" s="24"/>
      <c r="S35" s="24">
        <v>14766</v>
      </c>
      <c r="T35" s="24"/>
      <c r="U35" s="24">
        <v>661392</v>
      </c>
      <c r="V35" s="24"/>
      <c r="W35" s="24">
        <v>66308</v>
      </c>
      <c r="X35" s="24"/>
      <c r="Y35" s="24">
        <f t="shared" si="2"/>
        <v>31422262</v>
      </c>
      <c r="Z35" s="24"/>
      <c r="AA35" s="24">
        <v>6950704</v>
      </c>
      <c r="AB35" s="24"/>
      <c r="AC35" s="24">
        <v>65119341</v>
      </c>
      <c r="AD35" s="24"/>
      <c r="AE35" s="24">
        <f t="shared" si="3"/>
        <v>72070045</v>
      </c>
      <c r="AF35" s="25">
        <f>+'St of Net Assets - GA'!W35-'St of Activities - GA Exp'!AE35</f>
        <v>0</v>
      </c>
      <c r="AG35" s="28"/>
    </row>
    <row r="36" spans="1:33" ht="12.75" customHeight="1">
      <c r="A36" s="23" t="s">
        <v>34</v>
      </c>
      <c r="B36" s="24"/>
      <c r="C36" s="24">
        <v>3576379</v>
      </c>
      <c r="D36" s="24"/>
      <c r="E36" s="24">
        <v>1590159</v>
      </c>
      <c r="F36" s="24"/>
      <c r="G36" s="24">
        <v>6030894</v>
      </c>
      <c r="H36" s="24"/>
      <c r="I36" s="24">
        <v>4340592</v>
      </c>
      <c r="J36" s="24"/>
      <c r="K36" s="24">
        <v>3144528</v>
      </c>
      <c r="L36" s="24"/>
      <c r="M36" s="24">
        <v>6227909</v>
      </c>
      <c r="N36" s="24"/>
      <c r="O36" s="24">
        <v>546305</v>
      </c>
      <c r="P36" s="24"/>
      <c r="Q36" s="24">
        <v>222846</v>
      </c>
      <c r="R36" s="24"/>
      <c r="S36" s="24">
        <v>222086</v>
      </c>
      <c r="T36" s="24"/>
      <c r="U36" s="24">
        <v>0</v>
      </c>
      <c r="V36" s="24"/>
      <c r="W36" s="24">
        <v>96824</v>
      </c>
      <c r="X36" s="24"/>
      <c r="Y36" s="24">
        <f t="shared" si="2"/>
        <v>25998522</v>
      </c>
      <c r="Z36" s="24"/>
      <c r="AA36" s="24">
        <v>1274936</v>
      </c>
      <c r="AB36" s="24"/>
      <c r="AC36" s="24">
        <v>28091324</v>
      </c>
      <c r="AD36" s="24"/>
      <c r="AE36" s="24">
        <f t="shared" si="3"/>
        <v>29366260</v>
      </c>
      <c r="AF36" s="25">
        <f>+'St of Net Assets - GA'!W36-'St of Activities - GA Exp'!AE36</f>
        <v>0</v>
      </c>
      <c r="AG36" s="28"/>
    </row>
    <row r="37" spans="1:33" ht="12.75" customHeight="1">
      <c r="A37" s="23" t="s">
        <v>35</v>
      </c>
      <c r="B37" s="24"/>
      <c r="C37" s="24">
        <v>12498283</v>
      </c>
      <c r="D37" s="24"/>
      <c r="E37" s="24">
        <v>4145917</v>
      </c>
      <c r="F37" s="24"/>
      <c r="G37" s="24">
        <v>13029583</v>
      </c>
      <c r="H37" s="24"/>
      <c r="I37" s="24">
        <v>15540378</v>
      </c>
      <c r="J37" s="24"/>
      <c r="K37" s="24">
        <v>9220565</v>
      </c>
      <c r="L37" s="24"/>
      <c r="M37" s="24">
        <v>28498808</v>
      </c>
      <c r="N37" s="24"/>
      <c r="O37" s="24">
        <v>299691</v>
      </c>
      <c r="P37" s="24"/>
      <c r="Q37" s="24">
        <v>0</v>
      </c>
      <c r="R37" s="24"/>
      <c r="S37" s="24">
        <v>0</v>
      </c>
      <c r="T37" s="24"/>
      <c r="U37" s="24">
        <v>0</v>
      </c>
      <c r="V37" s="24"/>
      <c r="W37" s="24">
        <v>197380</v>
      </c>
      <c r="X37" s="24"/>
      <c r="Y37" s="24">
        <f t="shared" si="2"/>
        <v>83430605</v>
      </c>
      <c r="Z37" s="24"/>
      <c r="AA37" s="24">
        <v>3684995</v>
      </c>
      <c r="AB37" s="24"/>
      <c r="AC37" s="24">
        <v>201460741</v>
      </c>
      <c r="AD37" s="24"/>
      <c r="AE37" s="24">
        <f t="shared" si="3"/>
        <v>205145736</v>
      </c>
      <c r="AF37" s="25">
        <f>+'St of Net Assets - GA'!W37-'St of Activities - GA Exp'!AE37</f>
        <v>0</v>
      </c>
      <c r="AG37" s="28"/>
    </row>
    <row r="38" spans="1:33" ht="12.75" customHeight="1">
      <c r="A38" s="23" t="s">
        <v>182</v>
      </c>
      <c r="B38" s="24"/>
      <c r="C38" s="24">
        <v>15481252</v>
      </c>
      <c r="D38" s="24"/>
      <c r="E38" s="24">
        <v>6593506</v>
      </c>
      <c r="F38" s="24"/>
      <c r="G38" s="24">
        <v>19577281</v>
      </c>
      <c r="H38" s="24"/>
      <c r="I38" s="24">
        <v>10763264</v>
      </c>
      <c r="J38" s="24"/>
      <c r="K38" s="24">
        <v>22813912</v>
      </c>
      <c r="L38" s="24"/>
      <c r="M38" s="24">
        <v>29666749</v>
      </c>
      <c r="N38" s="24"/>
      <c r="O38" s="24">
        <v>2509058</v>
      </c>
      <c r="P38" s="24"/>
      <c r="Q38" s="24">
        <v>2514172</v>
      </c>
      <c r="R38" s="24"/>
      <c r="S38" s="24">
        <v>0</v>
      </c>
      <c r="T38" s="24"/>
      <c r="U38" s="24">
        <v>0</v>
      </c>
      <c r="V38" s="24"/>
      <c r="W38" s="24">
        <v>1177903</v>
      </c>
      <c r="X38" s="24"/>
      <c r="Y38" s="24">
        <f t="shared" si="2"/>
        <v>111097097</v>
      </c>
      <c r="Z38" s="24"/>
      <c r="AA38" s="24">
        <v>11022231</v>
      </c>
      <c r="AB38" s="24"/>
      <c r="AC38" s="24">
        <v>193233169</v>
      </c>
      <c r="AD38" s="24"/>
      <c r="AE38" s="24">
        <f t="shared" si="3"/>
        <v>204255400</v>
      </c>
      <c r="AF38" s="25">
        <f>+'St of Net Assets - GA'!W38-'St of Activities - GA Exp'!AE38</f>
        <v>0</v>
      </c>
      <c r="AG38" s="28"/>
    </row>
    <row r="39" spans="1:33" ht="12.75" customHeight="1" hidden="1">
      <c r="A39" s="23" t="s">
        <v>244</v>
      </c>
      <c r="B39" s="24"/>
      <c r="C39" s="24">
        <v>0</v>
      </c>
      <c r="D39" s="24"/>
      <c r="E39" s="24">
        <v>0</v>
      </c>
      <c r="F39" s="24"/>
      <c r="G39" s="24">
        <v>0</v>
      </c>
      <c r="H39" s="24"/>
      <c r="I39" s="24">
        <v>0</v>
      </c>
      <c r="J39" s="24"/>
      <c r="K39" s="24">
        <v>0</v>
      </c>
      <c r="L39" s="24"/>
      <c r="M39" s="24">
        <v>0</v>
      </c>
      <c r="N39" s="24"/>
      <c r="O39" s="24">
        <v>0</v>
      </c>
      <c r="P39" s="24"/>
      <c r="Q39" s="24">
        <v>0</v>
      </c>
      <c r="R39" s="24"/>
      <c r="S39" s="24">
        <v>0</v>
      </c>
      <c r="T39" s="24"/>
      <c r="U39" s="24">
        <v>0</v>
      </c>
      <c r="V39" s="24"/>
      <c r="W39" s="24">
        <v>0</v>
      </c>
      <c r="X39" s="24"/>
      <c r="Y39" s="24">
        <f t="shared" si="2"/>
        <v>0</v>
      </c>
      <c r="Z39" s="24"/>
      <c r="AA39" s="24">
        <v>0</v>
      </c>
      <c r="AB39" s="24"/>
      <c r="AC39" s="24">
        <v>0</v>
      </c>
      <c r="AD39" s="24"/>
      <c r="AE39" s="24">
        <f t="shared" si="3"/>
        <v>0</v>
      </c>
      <c r="AF39" s="25">
        <f>+'St of Net Assets - GA'!W39-'St of Activities - GA Exp'!AE39</f>
        <v>0</v>
      </c>
      <c r="AG39" s="28"/>
    </row>
    <row r="40" spans="1:33" ht="12.75" customHeight="1" hidden="1">
      <c r="A40" s="23" t="s">
        <v>37</v>
      </c>
      <c r="B40" s="24"/>
      <c r="C40" s="24">
        <v>0</v>
      </c>
      <c r="D40" s="24"/>
      <c r="E40" s="24">
        <v>0</v>
      </c>
      <c r="F40" s="24"/>
      <c r="G40" s="24">
        <v>0</v>
      </c>
      <c r="H40" s="24"/>
      <c r="I40" s="24">
        <v>0</v>
      </c>
      <c r="J40" s="24"/>
      <c r="K40" s="24">
        <v>0</v>
      </c>
      <c r="L40" s="24"/>
      <c r="M40" s="24">
        <v>0</v>
      </c>
      <c r="N40" s="24"/>
      <c r="O40" s="24">
        <v>0</v>
      </c>
      <c r="P40" s="24"/>
      <c r="Q40" s="24">
        <v>0</v>
      </c>
      <c r="R40" s="24"/>
      <c r="S40" s="24">
        <v>0</v>
      </c>
      <c r="T40" s="24"/>
      <c r="U40" s="24">
        <v>0</v>
      </c>
      <c r="V40" s="24"/>
      <c r="W40" s="24">
        <v>0</v>
      </c>
      <c r="X40" s="24"/>
      <c r="Y40" s="24">
        <f t="shared" si="2"/>
        <v>0</v>
      </c>
      <c r="Z40" s="24"/>
      <c r="AA40" s="24">
        <v>0</v>
      </c>
      <c r="AB40" s="24"/>
      <c r="AC40" s="24">
        <v>0</v>
      </c>
      <c r="AD40" s="24"/>
      <c r="AE40" s="24">
        <f t="shared" si="3"/>
        <v>0</v>
      </c>
      <c r="AF40" s="25">
        <f>+'St of Net Assets - GA'!W40-'St of Activities - GA Exp'!AE40</f>
        <v>0</v>
      </c>
      <c r="AG40" s="28"/>
    </row>
    <row r="41" spans="1:33" ht="12.75" customHeight="1">
      <c r="A41" s="23" t="s">
        <v>38</v>
      </c>
      <c r="B41" s="24"/>
      <c r="C41" s="24">
        <v>6640009</v>
      </c>
      <c r="D41" s="24"/>
      <c r="E41" s="24">
        <v>3645316</v>
      </c>
      <c r="F41" s="24"/>
      <c r="G41" s="24">
        <v>7467419</v>
      </c>
      <c r="H41" s="24"/>
      <c r="I41" s="24">
        <v>7865066</v>
      </c>
      <c r="J41" s="24"/>
      <c r="K41" s="24">
        <v>17320605</v>
      </c>
      <c r="L41" s="24"/>
      <c r="M41" s="24">
        <v>10474145</v>
      </c>
      <c r="N41" s="24"/>
      <c r="O41" s="24">
        <v>171049</v>
      </c>
      <c r="P41" s="24"/>
      <c r="Q41" s="24">
        <v>1007216</v>
      </c>
      <c r="R41" s="24"/>
      <c r="S41" s="24">
        <v>0</v>
      </c>
      <c r="T41" s="24"/>
      <c r="U41" s="24">
        <v>0</v>
      </c>
      <c r="V41" s="24"/>
      <c r="W41" s="24">
        <v>671081</v>
      </c>
      <c r="X41" s="24"/>
      <c r="Y41" s="24">
        <f>SUM(C41:W41)</f>
        <v>55261906</v>
      </c>
      <c r="Z41" s="24"/>
      <c r="AA41" s="24">
        <v>7192396</v>
      </c>
      <c r="AB41" s="24"/>
      <c r="AC41" s="24">
        <v>120731469</v>
      </c>
      <c r="AD41" s="24"/>
      <c r="AE41" s="24">
        <f t="shared" si="3"/>
        <v>127923865</v>
      </c>
      <c r="AF41" s="25">
        <f>+'St of Net Assets - GA'!W41-'St of Activities - GA Exp'!AE41</f>
        <v>0</v>
      </c>
      <c r="AG41" s="28"/>
    </row>
    <row r="42" spans="1:33" ht="12.75" customHeight="1" hidden="1">
      <c r="A42" s="23" t="s">
        <v>168</v>
      </c>
      <c r="B42" s="24"/>
      <c r="C42" s="24">
        <v>0</v>
      </c>
      <c r="D42" s="24"/>
      <c r="E42" s="24">
        <v>0</v>
      </c>
      <c r="F42" s="24"/>
      <c r="G42" s="24">
        <v>0</v>
      </c>
      <c r="H42" s="24"/>
      <c r="I42" s="24">
        <v>0</v>
      </c>
      <c r="J42" s="24"/>
      <c r="K42" s="24">
        <v>0</v>
      </c>
      <c r="L42" s="24"/>
      <c r="M42" s="24">
        <v>0</v>
      </c>
      <c r="N42" s="24"/>
      <c r="O42" s="24">
        <v>0</v>
      </c>
      <c r="P42" s="24"/>
      <c r="Q42" s="24">
        <v>0</v>
      </c>
      <c r="R42" s="24"/>
      <c r="S42" s="24">
        <v>0</v>
      </c>
      <c r="T42" s="24"/>
      <c r="U42" s="24">
        <v>0</v>
      </c>
      <c r="V42" s="24"/>
      <c r="W42" s="24">
        <v>0</v>
      </c>
      <c r="X42" s="24"/>
      <c r="Y42" s="24">
        <f t="shared" si="2"/>
        <v>0</v>
      </c>
      <c r="Z42" s="24"/>
      <c r="AA42" s="24">
        <v>0</v>
      </c>
      <c r="AB42" s="24"/>
      <c r="AC42" s="24">
        <v>0</v>
      </c>
      <c r="AD42" s="24"/>
      <c r="AE42" s="24">
        <f t="shared" si="3"/>
        <v>0</v>
      </c>
      <c r="AF42" s="25">
        <f>+'St of Net Assets - GA'!W42-'St of Activities - GA Exp'!AE42</f>
        <v>0</v>
      </c>
      <c r="AG42" s="28"/>
    </row>
    <row r="43" spans="1:33" ht="12.75" customHeight="1" hidden="1">
      <c r="A43" s="23" t="s">
        <v>39</v>
      </c>
      <c r="B43" s="24"/>
      <c r="C43" s="24">
        <v>0</v>
      </c>
      <c r="D43" s="24"/>
      <c r="E43" s="24">
        <v>0</v>
      </c>
      <c r="F43" s="24"/>
      <c r="G43" s="24">
        <v>0</v>
      </c>
      <c r="H43" s="24"/>
      <c r="I43" s="24">
        <v>0</v>
      </c>
      <c r="J43" s="24"/>
      <c r="K43" s="24">
        <v>0</v>
      </c>
      <c r="L43" s="24"/>
      <c r="M43" s="24">
        <v>0</v>
      </c>
      <c r="N43" s="24"/>
      <c r="O43" s="24">
        <v>0</v>
      </c>
      <c r="P43" s="24"/>
      <c r="Q43" s="24">
        <v>0</v>
      </c>
      <c r="R43" s="24"/>
      <c r="S43" s="24">
        <v>0</v>
      </c>
      <c r="T43" s="24"/>
      <c r="U43" s="24">
        <v>0</v>
      </c>
      <c r="V43" s="24"/>
      <c r="W43" s="24">
        <v>0</v>
      </c>
      <c r="X43" s="24"/>
      <c r="Y43" s="24">
        <f t="shared" si="2"/>
        <v>0</v>
      </c>
      <c r="Z43" s="24"/>
      <c r="AA43" s="24">
        <v>0</v>
      </c>
      <c r="AB43" s="24"/>
      <c r="AC43" s="24">
        <v>0</v>
      </c>
      <c r="AD43" s="24"/>
      <c r="AE43" s="24">
        <f t="shared" si="3"/>
        <v>0</v>
      </c>
      <c r="AF43" s="25">
        <f>+'St of Net Assets - GA'!W43-'St of Activities - GA Exp'!AE43</f>
        <v>0</v>
      </c>
      <c r="AG43" s="28"/>
    </row>
    <row r="44" spans="1:33" ht="12.75" customHeight="1">
      <c r="A44" s="23" t="s">
        <v>40</v>
      </c>
      <c r="B44" s="24"/>
      <c r="C44" s="24">
        <v>3115192</v>
      </c>
      <c r="D44" s="24"/>
      <c r="E44" s="24">
        <v>1504869</v>
      </c>
      <c r="F44" s="24"/>
      <c r="G44" s="24">
        <v>3288197</v>
      </c>
      <c r="H44" s="24"/>
      <c r="I44" s="24">
        <v>4442561</v>
      </c>
      <c r="J44" s="24"/>
      <c r="K44" s="24">
        <v>1745882</v>
      </c>
      <c r="L44" s="24"/>
      <c r="M44" s="24">
        <v>12108419</v>
      </c>
      <c r="N44" s="24"/>
      <c r="O44" s="24">
        <v>942230</v>
      </c>
      <c r="P44" s="24"/>
      <c r="Q44" s="24">
        <v>0</v>
      </c>
      <c r="R44" s="24"/>
      <c r="S44" s="24">
        <f>505334+188068</f>
        <v>693402</v>
      </c>
      <c r="T44" s="24"/>
      <c r="U44" s="24">
        <v>285907</v>
      </c>
      <c r="V44" s="24"/>
      <c r="W44" s="24">
        <v>19085</v>
      </c>
      <c r="X44" s="24"/>
      <c r="Y44" s="24">
        <f t="shared" si="2"/>
        <v>28145744</v>
      </c>
      <c r="Z44" s="24"/>
      <c r="AA44" s="24">
        <v>657729</v>
      </c>
      <c r="AB44" s="24"/>
      <c r="AC44" s="24">
        <v>53999536</v>
      </c>
      <c r="AD44" s="24"/>
      <c r="AE44" s="24">
        <f t="shared" si="3"/>
        <v>54657265</v>
      </c>
      <c r="AF44" s="25">
        <f>+'St of Net Assets - GA'!W44-'St of Activities - GA Exp'!AE44</f>
        <v>0</v>
      </c>
      <c r="AG44" s="28"/>
    </row>
    <row r="45" spans="1:33" ht="12.75" customHeight="1" hidden="1">
      <c r="A45" s="23" t="s">
        <v>41</v>
      </c>
      <c r="B45" s="24"/>
      <c r="C45" s="24">
        <v>0</v>
      </c>
      <c r="D45" s="24"/>
      <c r="E45" s="24">
        <v>0</v>
      </c>
      <c r="F45" s="24"/>
      <c r="G45" s="24">
        <v>0</v>
      </c>
      <c r="H45" s="24"/>
      <c r="I45" s="24">
        <v>0</v>
      </c>
      <c r="J45" s="24"/>
      <c r="K45" s="24">
        <v>0</v>
      </c>
      <c r="L45" s="24"/>
      <c r="M45" s="24">
        <v>0</v>
      </c>
      <c r="N45" s="24"/>
      <c r="O45" s="24">
        <v>0</v>
      </c>
      <c r="P45" s="24"/>
      <c r="Q45" s="24">
        <v>0</v>
      </c>
      <c r="R45" s="24"/>
      <c r="S45" s="24">
        <v>0</v>
      </c>
      <c r="T45" s="24"/>
      <c r="U45" s="24">
        <v>0</v>
      </c>
      <c r="V45" s="24"/>
      <c r="W45" s="24">
        <v>0</v>
      </c>
      <c r="X45" s="24"/>
      <c r="Y45" s="24">
        <f t="shared" si="2"/>
        <v>0</v>
      </c>
      <c r="Z45" s="24"/>
      <c r="AA45" s="24">
        <v>0</v>
      </c>
      <c r="AB45" s="24"/>
      <c r="AC45" s="24">
        <v>0</v>
      </c>
      <c r="AD45" s="24"/>
      <c r="AE45" s="24">
        <f aca="true" t="shared" si="4" ref="AE45:AE98">+AC45+AA45</f>
        <v>0</v>
      </c>
      <c r="AF45" s="25">
        <f>+'St of Net Assets - GA'!W45-'St of Activities - GA Exp'!AE45</f>
        <v>0</v>
      </c>
      <c r="AG45" s="28"/>
    </row>
    <row r="46" spans="1:33" ht="12.75" customHeight="1">
      <c r="A46" s="23" t="s">
        <v>42</v>
      </c>
      <c r="B46" s="24"/>
      <c r="C46" s="24">
        <v>3194631</v>
      </c>
      <c r="D46" s="146"/>
      <c r="E46" s="24">
        <v>1761989</v>
      </c>
      <c r="F46" s="146"/>
      <c r="G46" s="24">
        <v>3577151</v>
      </c>
      <c r="H46" s="146"/>
      <c r="I46" s="24">
        <v>3968023</v>
      </c>
      <c r="J46" s="146"/>
      <c r="K46" s="24">
        <v>4326379</v>
      </c>
      <c r="L46" s="146"/>
      <c r="M46" s="24">
        <v>7285664</v>
      </c>
      <c r="N46" s="146"/>
      <c r="O46" s="24">
        <v>696100</v>
      </c>
      <c r="P46" s="146"/>
      <c r="Q46" s="24">
        <v>253453</v>
      </c>
      <c r="R46" s="146"/>
      <c r="S46" s="24">
        <v>70765</v>
      </c>
      <c r="T46" s="146"/>
      <c r="U46" s="24">
        <v>12866</v>
      </c>
      <c r="V46" s="146"/>
      <c r="W46" s="24">
        <v>45691</v>
      </c>
      <c r="X46" s="146"/>
      <c r="Y46" s="146">
        <f t="shared" si="2"/>
        <v>25192712</v>
      </c>
      <c r="Z46" s="146"/>
      <c r="AA46" s="24">
        <v>1042137</v>
      </c>
      <c r="AB46" s="146"/>
      <c r="AC46" s="24">
        <v>31192853</v>
      </c>
      <c r="AD46" s="146"/>
      <c r="AE46" s="146">
        <f t="shared" si="4"/>
        <v>32234990</v>
      </c>
      <c r="AF46" s="25">
        <f>+'St of Net Assets - GA'!W46-'St of Activities - GA Exp'!AE46</f>
        <v>0</v>
      </c>
      <c r="AG46" s="28"/>
    </row>
    <row r="47" spans="1:33" ht="12.75" customHeight="1">
      <c r="A47" s="23" t="s">
        <v>43</v>
      </c>
      <c r="B47" s="24"/>
      <c r="C47" s="24">
        <v>4366185</v>
      </c>
      <c r="D47" s="146"/>
      <c r="E47" s="24">
        <v>1728000</v>
      </c>
      <c r="F47" s="146"/>
      <c r="G47" s="24">
        <v>3564619</v>
      </c>
      <c r="H47" s="146"/>
      <c r="I47" s="24">
        <v>4215355</v>
      </c>
      <c r="J47" s="146"/>
      <c r="K47" s="24">
        <v>246731</v>
      </c>
      <c r="L47" s="146"/>
      <c r="M47" s="24">
        <v>12484673</v>
      </c>
      <c r="N47" s="146"/>
      <c r="O47" s="24">
        <v>0</v>
      </c>
      <c r="P47" s="146"/>
      <c r="Q47" s="24">
        <v>207858</v>
      </c>
      <c r="R47" s="146"/>
      <c r="S47" s="24">
        <v>0</v>
      </c>
      <c r="T47" s="146"/>
      <c r="U47" s="24">
        <v>0</v>
      </c>
      <c r="V47" s="146"/>
      <c r="W47" s="24">
        <v>183745</v>
      </c>
      <c r="X47" s="146"/>
      <c r="Y47" s="146">
        <f t="shared" si="2"/>
        <v>26997166</v>
      </c>
      <c r="Z47" s="146"/>
      <c r="AA47" s="24">
        <v>2187966</v>
      </c>
      <c r="AB47" s="146"/>
      <c r="AC47" s="24">
        <v>33249441</v>
      </c>
      <c r="AD47" s="146"/>
      <c r="AE47" s="146">
        <f t="shared" si="4"/>
        <v>35437407</v>
      </c>
      <c r="AF47" s="25">
        <f>+'St of Net Assets - GA'!W47-'St of Activities - GA Exp'!AE47</f>
        <v>0</v>
      </c>
      <c r="AG47" s="28"/>
    </row>
    <row r="48" spans="1:33" ht="12.75" customHeight="1" hidden="1">
      <c r="A48" s="23" t="s">
        <v>44</v>
      </c>
      <c r="B48" s="24"/>
      <c r="C48" s="24">
        <v>0</v>
      </c>
      <c r="D48" s="146"/>
      <c r="E48" s="24">
        <v>0</v>
      </c>
      <c r="F48" s="146"/>
      <c r="G48" s="24">
        <v>0</v>
      </c>
      <c r="H48" s="146"/>
      <c r="I48" s="24">
        <v>0</v>
      </c>
      <c r="J48" s="146"/>
      <c r="K48" s="24">
        <v>0</v>
      </c>
      <c r="L48" s="146"/>
      <c r="M48" s="24">
        <v>0</v>
      </c>
      <c r="N48" s="146"/>
      <c r="O48" s="24">
        <v>0</v>
      </c>
      <c r="P48" s="146"/>
      <c r="Q48" s="24">
        <v>0</v>
      </c>
      <c r="R48" s="146"/>
      <c r="S48" s="24">
        <v>0</v>
      </c>
      <c r="T48" s="146"/>
      <c r="U48" s="24">
        <v>0</v>
      </c>
      <c r="V48" s="146"/>
      <c r="W48" s="24">
        <v>0</v>
      </c>
      <c r="X48" s="146"/>
      <c r="Y48" s="146">
        <f t="shared" si="2"/>
        <v>0</v>
      </c>
      <c r="Z48" s="146"/>
      <c r="AA48" s="24">
        <v>0</v>
      </c>
      <c r="AB48" s="146"/>
      <c r="AC48" s="24">
        <v>0</v>
      </c>
      <c r="AD48" s="146"/>
      <c r="AE48" s="146">
        <f t="shared" si="4"/>
        <v>0</v>
      </c>
      <c r="AF48" s="25">
        <f>+'St of Net Assets - GA'!W48-'St of Activities - GA Exp'!AE48</f>
        <v>0</v>
      </c>
      <c r="AG48" s="28"/>
    </row>
    <row r="49" spans="1:33" ht="12.75" customHeight="1" hidden="1">
      <c r="A49" s="23" t="s">
        <v>241</v>
      </c>
      <c r="B49" s="24"/>
      <c r="C49" s="24">
        <v>0</v>
      </c>
      <c r="D49" s="146"/>
      <c r="E49" s="24">
        <v>0</v>
      </c>
      <c r="F49" s="146"/>
      <c r="G49" s="24">
        <v>0</v>
      </c>
      <c r="H49" s="146"/>
      <c r="I49" s="24">
        <v>0</v>
      </c>
      <c r="J49" s="146"/>
      <c r="K49" s="24">
        <v>0</v>
      </c>
      <c r="L49" s="146"/>
      <c r="M49" s="24">
        <v>0</v>
      </c>
      <c r="N49" s="146"/>
      <c r="O49" s="24">
        <v>0</v>
      </c>
      <c r="P49" s="146"/>
      <c r="Q49" s="24">
        <v>0</v>
      </c>
      <c r="R49" s="146"/>
      <c r="S49" s="24">
        <v>0</v>
      </c>
      <c r="T49" s="146"/>
      <c r="U49" s="24">
        <v>0</v>
      </c>
      <c r="V49" s="146"/>
      <c r="W49" s="24">
        <v>0</v>
      </c>
      <c r="X49" s="146"/>
      <c r="Y49" s="146">
        <f t="shared" si="2"/>
        <v>0</v>
      </c>
      <c r="Z49" s="146"/>
      <c r="AA49" s="24">
        <v>0</v>
      </c>
      <c r="AB49" s="146"/>
      <c r="AC49" s="24">
        <v>0</v>
      </c>
      <c r="AD49" s="146"/>
      <c r="AE49" s="146">
        <f t="shared" si="4"/>
        <v>0</v>
      </c>
      <c r="AF49" s="25">
        <f>+'St of Net Assets - GA'!W49-'St of Activities - GA Exp'!AE49</f>
        <v>0</v>
      </c>
      <c r="AG49" s="28"/>
    </row>
    <row r="50" spans="1:33" ht="12.75" customHeight="1">
      <c r="A50" s="23" t="s">
        <v>46</v>
      </c>
      <c r="B50" s="24"/>
      <c r="C50" s="24">
        <v>6189441</v>
      </c>
      <c r="D50" s="146"/>
      <c r="E50" s="24">
        <v>3573245</v>
      </c>
      <c r="F50" s="146"/>
      <c r="G50" s="24">
        <v>9476851</v>
      </c>
      <c r="H50" s="146"/>
      <c r="I50" s="24">
        <v>7273883</v>
      </c>
      <c r="J50" s="146"/>
      <c r="K50" s="24">
        <v>18755114</v>
      </c>
      <c r="L50" s="146"/>
      <c r="M50" s="24">
        <v>14174160</v>
      </c>
      <c r="N50" s="146"/>
      <c r="O50" s="24">
        <v>1540861</v>
      </c>
      <c r="P50" s="146"/>
      <c r="Q50" s="24">
        <v>11400</v>
      </c>
      <c r="R50" s="146"/>
      <c r="S50" s="24">
        <v>0</v>
      </c>
      <c r="T50" s="146"/>
      <c r="U50" s="24">
        <v>0</v>
      </c>
      <c r="V50" s="146"/>
      <c r="W50" s="24">
        <v>1308309</v>
      </c>
      <c r="X50" s="146"/>
      <c r="Y50" s="146">
        <f t="shared" si="2"/>
        <v>62303264</v>
      </c>
      <c r="Z50" s="146"/>
      <c r="AA50" s="24">
        <v>5433247</v>
      </c>
      <c r="AB50" s="146"/>
      <c r="AC50" s="24">
        <v>104167750</v>
      </c>
      <c r="AD50" s="146"/>
      <c r="AE50" s="146">
        <f t="shared" si="4"/>
        <v>109600997</v>
      </c>
      <c r="AF50" s="25">
        <f>+'St of Net Assets - GA'!W50-'St of Activities - GA Exp'!AE50</f>
        <v>0</v>
      </c>
      <c r="AG50" s="28"/>
    </row>
    <row r="51" spans="1:33" ht="12.75" customHeight="1">
      <c r="A51" s="23" t="s">
        <v>47</v>
      </c>
      <c r="B51" s="24"/>
      <c r="C51" s="24">
        <v>6035909</v>
      </c>
      <c r="D51" s="146"/>
      <c r="E51" s="24">
        <v>2101009</v>
      </c>
      <c r="F51" s="146"/>
      <c r="G51" s="24">
        <v>6675712</v>
      </c>
      <c r="H51" s="146"/>
      <c r="I51" s="24">
        <v>6104722</v>
      </c>
      <c r="J51" s="146"/>
      <c r="K51" s="24">
        <v>471674</v>
      </c>
      <c r="L51" s="146"/>
      <c r="M51" s="24">
        <v>11532090</v>
      </c>
      <c r="N51" s="146"/>
      <c r="O51" s="24">
        <v>0</v>
      </c>
      <c r="P51" s="146"/>
      <c r="Q51" s="24">
        <v>0</v>
      </c>
      <c r="R51" s="146"/>
      <c r="S51" s="24">
        <v>0</v>
      </c>
      <c r="T51" s="146"/>
      <c r="U51" s="24">
        <v>2039618</v>
      </c>
      <c r="V51" s="146"/>
      <c r="W51" s="24">
        <v>272330</v>
      </c>
      <c r="X51" s="146"/>
      <c r="Y51" s="146">
        <f t="shared" si="2"/>
        <v>35233064</v>
      </c>
      <c r="Z51" s="146"/>
      <c r="AA51" s="24">
        <v>6952944</v>
      </c>
      <c r="AB51" s="146"/>
      <c r="AC51" s="24">
        <v>70594877</v>
      </c>
      <c r="AD51" s="146"/>
      <c r="AE51" s="146">
        <f t="shared" si="4"/>
        <v>77547821</v>
      </c>
      <c r="AF51" s="25">
        <f>+'St of Net Assets - GA'!W51-'St of Activities - GA Exp'!AE51</f>
        <v>0</v>
      </c>
      <c r="AG51" s="28"/>
    </row>
    <row r="52" spans="1:33" ht="12.75" customHeight="1">
      <c r="A52" s="23" t="s">
        <v>48</v>
      </c>
      <c r="B52" s="24"/>
      <c r="C52" s="24">
        <v>18863482</v>
      </c>
      <c r="D52" s="146"/>
      <c r="E52" s="24">
        <v>44860027</v>
      </c>
      <c r="F52" s="146"/>
      <c r="G52" s="24">
        <v>0</v>
      </c>
      <c r="H52" s="146"/>
      <c r="I52" s="24">
        <v>12112329</v>
      </c>
      <c r="J52" s="146"/>
      <c r="K52" s="24">
        <v>24273237</v>
      </c>
      <c r="L52" s="146"/>
      <c r="M52" s="24">
        <v>71236914</v>
      </c>
      <c r="N52" s="146"/>
      <c r="O52" s="24">
        <v>3844525</v>
      </c>
      <c r="P52" s="146"/>
      <c r="Q52" s="24">
        <v>0</v>
      </c>
      <c r="R52" s="146"/>
      <c r="S52" s="24">
        <v>0</v>
      </c>
      <c r="T52" s="146"/>
      <c r="U52" s="24">
        <v>0</v>
      </c>
      <c r="V52" s="146"/>
      <c r="W52" s="24">
        <v>1365345</v>
      </c>
      <c r="X52" s="146"/>
      <c r="Y52" s="146">
        <f t="shared" si="2"/>
        <v>176555859</v>
      </c>
      <c r="Z52" s="146"/>
      <c r="AA52" s="24">
        <v>4938557</v>
      </c>
      <c r="AB52" s="146"/>
      <c r="AC52" s="24">
        <v>212751479</v>
      </c>
      <c r="AD52" s="146"/>
      <c r="AE52" s="146">
        <f t="shared" si="4"/>
        <v>217690036</v>
      </c>
      <c r="AF52" s="25">
        <f>+'St of Net Assets - GA'!W52-'St of Activities - GA Exp'!AE52</f>
        <v>0</v>
      </c>
      <c r="AG52" s="28"/>
    </row>
    <row r="53" spans="1:33" ht="12.75" customHeight="1" hidden="1">
      <c r="A53" s="23" t="s">
        <v>170</v>
      </c>
      <c r="B53" s="24"/>
      <c r="C53" s="24">
        <v>0</v>
      </c>
      <c r="D53" s="146"/>
      <c r="E53" s="24">
        <v>0</v>
      </c>
      <c r="F53" s="146"/>
      <c r="G53" s="24">
        <v>0</v>
      </c>
      <c r="H53" s="146"/>
      <c r="I53" s="24">
        <v>0</v>
      </c>
      <c r="J53" s="146"/>
      <c r="K53" s="24">
        <v>0</v>
      </c>
      <c r="L53" s="146"/>
      <c r="M53" s="24">
        <v>0</v>
      </c>
      <c r="N53" s="146"/>
      <c r="O53" s="24">
        <v>0</v>
      </c>
      <c r="P53" s="146"/>
      <c r="Q53" s="24">
        <v>0</v>
      </c>
      <c r="R53" s="146"/>
      <c r="S53" s="24">
        <v>0</v>
      </c>
      <c r="T53" s="146"/>
      <c r="U53" s="24">
        <v>0</v>
      </c>
      <c r="V53" s="146"/>
      <c r="W53" s="24">
        <v>0</v>
      </c>
      <c r="X53" s="146"/>
      <c r="Y53" s="146">
        <f t="shared" si="2"/>
        <v>0</v>
      </c>
      <c r="Z53" s="146"/>
      <c r="AA53" s="24">
        <v>0</v>
      </c>
      <c r="AB53" s="146"/>
      <c r="AC53" s="24">
        <v>0</v>
      </c>
      <c r="AD53" s="146"/>
      <c r="AE53" s="146">
        <f t="shared" si="4"/>
        <v>0</v>
      </c>
      <c r="AF53" s="25">
        <f>+'St of Net Assets - GA'!W53-'St of Activities - GA Exp'!AE53</f>
        <v>0</v>
      </c>
      <c r="AG53" s="28"/>
    </row>
    <row r="54" spans="1:33" ht="12.75" customHeight="1">
      <c r="A54" s="23" t="s">
        <v>49</v>
      </c>
      <c r="B54" s="24"/>
      <c r="C54" s="24">
        <v>23545043</v>
      </c>
      <c r="D54" s="146"/>
      <c r="E54" s="24">
        <v>0</v>
      </c>
      <c r="F54" s="146"/>
      <c r="G54" s="24">
        <v>22464292</v>
      </c>
      <c r="H54" s="146"/>
      <c r="I54" s="24">
        <v>7993264</v>
      </c>
      <c r="J54" s="146"/>
      <c r="K54" s="24">
        <v>4691348</v>
      </c>
      <c r="L54" s="146"/>
      <c r="M54" s="24">
        <v>38394980</v>
      </c>
      <c r="N54" s="146"/>
      <c r="O54" s="24">
        <v>946386</v>
      </c>
      <c r="P54" s="146"/>
      <c r="Q54" s="24">
        <v>628620</v>
      </c>
      <c r="R54" s="146"/>
      <c r="S54" s="24">
        <v>0</v>
      </c>
      <c r="T54" s="146"/>
      <c r="U54" s="24">
        <v>0</v>
      </c>
      <c r="V54" s="146"/>
      <c r="W54" s="24">
        <v>503687</v>
      </c>
      <c r="X54" s="146"/>
      <c r="Y54" s="146">
        <f>SUM(C54:W54)</f>
        <v>99167620</v>
      </c>
      <c r="Z54" s="146"/>
      <c r="AA54" s="24">
        <v>4483361</v>
      </c>
      <c r="AB54" s="146"/>
      <c r="AC54" s="24">
        <v>103659956</v>
      </c>
      <c r="AD54" s="146"/>
      <c r="AE54" s="146">
        <f t="shared" si="4"/>
        <v>108143317</v>
      </c>
      <c r="AF54" s="25">
        <f>+'St of Net Assets - GA'!W54-'St of Activities - GA Exp'!AE54</f>
        <v>0</v>
      </c>
      <c r="AG54" s="28"/>
    </row>
    <row r="55" spans="1:33" ht="12.75" customHeight="1">
      <c r="A55" s="23" t="s">
        <v>50</v>
      </c>
      <c r="B55" s="24"/>
      <c r="C55" s="24">
        <v>4062164</v>
      </c>
      <c r="D55" s="146"/>
      <c r="E55" s="24">
        <v>4286463</v>
      </c>
      <c r="F55" s="146"/>
      <c r="G55" s="24">
        <v>5739493</v>
      </c>
      <c r="H55" s="146"/>
      <c r="I55" s="24">
        <v>5363886</v>
      </c>
      <c r="J55" s="146"/>
      <c r="K55" s="24">
        <v>1197833</v>
      </c>
      <c r="L55" s="146"/>
      <c r="M55" s="24">
        <v>14744259</v>
      </c>
      <c r="N55" s="146"/>
      <c r="O55" s="24">
        <f>469215+273385</f>
        <v>742600</v>
      </c>
      <c r="P55" s="146"/>
      <c r="Q55" s="24">
        <v>750413</v>
      </c>
      <c r="R55" s="146"/>
      <c r="S55" s="24">
        <v>0</v>
      </c>
      <c r="T55" s="146"/>
      <c r="U55" s="24">
        <v>0</v>
      </c>
      <c r="V55" s="146"/>
      <c r="W55" s="24">
        <v>285288</v>
      </c>
      <c r="X55" s="146"/>
      <c r="Y55" s="146">
        <f t="shared" si="2"/>
        <v>37172399</v>
      </c>
      <c r="Z55" s="146"/>
      <c r="AA55" s="24">
        <v>39728</v>
      </c>
      <c r="AB55" s="146"/>
      <c r="AC55" s="24">
        <v>79642426</v>
      </c>
      <c r="AD55" s="146"/>
      <c r="AE55" s="146">
        <f t="shared" si="4"/>
        <v>79682154</v>
      </c>
      <c r="AF55" s="25">
        <f>+'St of Net Assets - GA'!W55-'St of Activities - GA Exp'!AE55</f>
        <v>0</v>
      </c>
      <c r="AG55" s="28"/>
    </row>
    <row r="56" spans="1:33" ht="12.75" customHeight="1">
      <c r="A56" s="23" t="s">
        <v>246</v>
      </c>
      <c r="B56" s="24"/>
      <c r="C56" s="24">
        <v>35430144</v>
      </c>
      <c r="D56" s="146"/>
      <c r="E56" s="24">
        <v>18903502</v>
      </c>
      <c r="F56" s="146"/>
      <c r="G56" s="24">
        <v>28122593</v>
      </c>
      <c r="H56" s="146"/>
      <c r="I56" s="24">
        <v>18286540</v>
      </c>
      <c r="J56" s="146"/>
      <c r="K56" s="24">
        <v>44923883</v>
      </c>
      <c r="L56" s="146"/>
      <c r="M56" s="24">
        <v>75143365</v>
      </c>
      <c r="N56" s="146"/>
      <c r="O56" s="24">
        <v>1323316</v>
      </c>
      <c r="P56" s="146"/>
      <c r="Q56" s="24">
        <v>0</v>
      </c>
      <c r="R56" s="146"/>
      <c r="S56" s="24">
        <v>0</v>
      </c>
      <c r="T56" s="146"/>
      <c r="U56" s="24">
        <v>0</v>
      </c>
      <c r="V56" s="146"/>
      <c r="W56" s="24">
        <v>1736986</v>
      </c>
      <c r="X56" s="146"/>
      <c r="Y56" s="146">
        <f t="shared" si="2"/>
        <v>223870329</v>
      </c>
      <c r="Z56" s="146"/>
      <c r="AA56" s="24">
        <v>5935016</v>
      </c>
      <c r="AB56" s="146"/>
      <c r="AC56" s="24">
        <v>228478994</v>
      </c>
      <c r="AD56" s="146"/>
      <c r="AE56" s="146">
        <f t="shared" si="4"/>
        <v>234414010</v>
      </c>
      <c r="AF56" s="25">
        <f>+'St of Net Assets - GA'!W56-'St of Activities - GA Exp'!AE56</f>
        <v>0</v>
      </c>
      <c r="AG56" s="28"/>
    </row>
    <row r="57" spans="1:33" ht="12.75" customHeight="1">
      <c r="A57" s="23" t="s">
        <v>183</v>
      </c>
      <c r="B57" s="24"/>
      <c r="C57" s="24">
        <v>43523364</v>
      </c>
      <c r="D57" s="146"/>
      <c r="E57" s="24">
        <v>57513591</v>
      </c>
      <c r="F57" s="146"/>
      <c r="G57" s="24">
        <v>75890806</v>
      </c>
      <c r="H57" s="146"/>
      <c r="I57" s="24">
        <v>22753282</v>
      </c>
      <c r="J57" s="146"/>
      <c r="K57" s="24">
        <v>134793714</v>
      </c>
      <c r="L57" s="146"/>
      <c r="M57" s="24">
        <v>102068218</v>
      </c>
      <c r="N57" s="146"/>
      <c r="O57" s="24">
        <v>0</v>
      </c>
      <c r="P57" s="146"/>
      <c r="Q57" s="24">
        <v>16715134</v>
      </c>
      <c r="R57" s="146"/>
      <c r="S57" s="24">
        <v>0</v>
      </c>
      <c r="T57" s="146"/>
      <c r="U57" s="24">
        <v>0</v>
      </c>
      <c r="V57" s="146"/>
      <c r="W57" s="24">
        <v>5714103</v>
      </c>
      <c r="X57" s="146"/>
      <c r="Y57" s="146">
        <f t="shared" si="2"/>
        <v>458972212</v>
      </c>
      <c r="Z57" s="146"/>
      <c r="AA57" s="24">
        <v>34675402</v>
      </c>
      <c r="AB57" s="146"/>
      <c r="AC57" s="24">
        <v>360387729</v>
      </c>
      <c r="AD57" s="146"/>
      <c r="AE57" s="146">
        <f t="shared" si="4"/>
        <v>395063131</v>
      </c>
      <c r="AF57" s="25">
        <f>+'St of Net Assets - GA'!W57-'St of Activities - GA Exp'!AE57</f>
        <v>0</v>
      </c>
      <c r="AG57" s="28"/>
    </row>
    <row r="58" spans="1:33" ht="12.75" customHeight="1" hidden="1">
      <c r="A58" s="23" t="s">
        <v>52</v>
      </c>
      <c r="B58" s="24"/>
      <c r="C58" s="24">
        <v>0</v>
      </c>
      <c r="D58" s="146"/>
      <c r="E58" s="24">
        <v>0</v>
      </c>
      <c r="F58" s="146"/>
      <c r="G58" s="24">
        <v>0</v>
      </c>
      <c r="H58" s="146"/>
      <c r="I58" s="24">
        <v>0</v>
      </c>
      <c r="J58" s="146"/>
      <c r="K58" s="24">
        <v>0</v>
      </c>
      <c r="L58" s="146"/>
      <c r="M58" s="24">
        <v>0</v>
      </c>
      <c r="N58" s="146"/>
      <c r="O58" s="24">
        <v>0</v>
      </c>
      <c r="P58" s="146"/>
      <c r="Q58" s="24">
        <v>0</v>
      </c>
      <c r="R58" s="146"/>
      <c r="S58" s="24">
        <v>0</v>
      </c>
      <c r="T58" s="146"/>
      <c r="U58" s="24">
        <v>0</v>
      </c>
      <c r="V58" s="146"/>
      <c r="W58" s="24">
        <v>0</v>
      </c>
      <c r="X58" s="146"/>
      <c r="Y58" s="146">
        <f t="shared" si="2"/>
        <v>0</v>
      </c>
      <c r="Z58" s="146"/>
      <c r="AA58" s="24">
        <v>0</v>
      </c>
      <c r="AB58" s="146"/>
      <c r="AC58" s="24">
        <v>0</v>
      </c>
      <c r="AD58" s="146"/>
      <c r="AE58" s="146">
        <f t="shared" si="4"/>
        <v>0</v>
      </c>
      <c r="AF58" s="25">
        <f>+'St of Net Assets - GA'!W58-'St of Activities - GA Exp'!AE58</f>
        <v>0</v>
      </c>
      <c r="AG58" s="28"/>
    </row>
    <row r="59" spans="1:33" ht="12.75" customHeight="1">
      <c r="A59" s="23" t="s">
        <v>53</v>
      </c>
      <c r="B59" s="24"/>
      <c r="C59" s="24">
        <v>25322205</v>
      </c>
      <c r="D59" s="146"/>
      <c r="E59" s="24">
        <v>20051505</v>
      </c>
      <c r="F59" s="146"/>
      <c r="G59" s="24">
        <v>23179616</v>
      </c>
      <c r="H59" s="146"/>
      <c r="I59" s="24">
        <v>12330738</v>
      </c>
      <c r="J59" s="146"/>
      <c r="K59" s="24">
        <v>53158099</v>
      </c>
      <c r="L59" s="146"/>
      <c r="M59" s="24">
        <v>45491138</v>
      </c>
      <c r="N59" s="146"/>
      <c r="O59" s="24">
        <v>0</v>
      </c>
      <c r="P59" s="146"/>
      <c r="Q59" s="24">
        <v>0</v>
      </c>
      <c r="R59" s="146"/>
      <c r="S59" s="24">
        <v>0</v>
      </c>
      <c r="T59" s="146"/>
      <c r="U59" s="24">
        <v>0</v>
      </c>
      <c r="V59" s="146"/>
      <c r="W59" s="24">
        <v>1896879</v>
      </c>
      <c r="X59" s="146"/>
      <c r="Y59" s="146">
        <f t="shared" si="2"/>
        <v>181430180</v>
      </c>
      <c r="Z59" s="146"/>
      <c r="AA59" s="24">
        <v>4249307</v>
      </c>
      <c r="AB59" s="146"/>
      <c r="AC59" s="24">
        <v>189378959</v>
      </c>
      <c r="AD59" s="146"/>
      <c r="AE59" s="146">
        <f t="shared" si="4"/>
        <v>193628266</v>
      </c>
      <c r="AF59" s="25">
        <f>+'St of Net Assets - GA'!W59-'St of Activities - GA Exp'!AE59</f>
        <v>0</v>
      </c>
      <c r="AG59" s="28"/>
    </row>
    <row r="60" spans="1:33" ht="12.75" customHeight="1">
      <c r="A60" s="23" t="s">
        <v>54</v>
      </c>
      <c r="B60" s="24"/>
      <c r="C60" s="24">
        <v>6289917</v>
      </c>
      <c r="D60" s="146"/>
      <c r="E60" s="24">
        <v>216492</v>
      </c>
      <c r="F60" s="146"/>
      <c r="G60" s="24">
        <f>10014679+3600</f>
        <v>10018279</v>
      </c>
      <c r="H60" s="146"/>
      <c r="I60" s="24">
        <v>5192878</v>
      </c>
      <c r="J60" s="146"/>
      <c r="K60" s="24">
        <f>6955223+1072668</f>
        <v>8027891</v>
      </c>
      <c r="L60" s="146"/>
      <c r="M60" s="24">
        <v>10936360</v>
      </c>
      <c r="N60" s="146"/>
      <c r="O60" s="24">
        <f>156000+2000</f>
        <v>158000</v>
      </c>
      <c r="P60" s="146"/>
      <c r="Q60" s="24">
        <v>137397</v>
      </c>
      <c r="R60" s="146"/>
      <c r="S60" s="24">
        <v>0</v>
      </c>
      <c r="T60" s="146"/>
      <c r="U60" s="24">
        <v>0</v>
      </c>
      <c r="V60" s="146"/>
      <c r="W60" s="24">
        <v>512986</v>
      </c>
      <c r="X60" s="146"/>
      <c r="Y60" s="146">
        <f t="shared" si="2"/>
        <v>41490200</v>
      </c>
      <c r="Z60" s="146"/>
      <c r="AA60" s="24">
        <v>7194643</v>
      </c>
      <c r="AB60" s="146"/>
      <c r="AC60" s="24">
        <v>76917426</v>
      </c>
      <c r="AD60" s="146"/>
      <c r="AE60" s="146">
        <f t="shared" si="4"/>
        <v>84112069</v>
      </c>
      <c r="AF60" s="25">
        <f>+'St of Net Assets - GA'!W60-'St of Activities - GA Exp'!AE60</f>
        <v>0</v>
      </c>
      <c r="AG60" s="28"/>
    </row>
    <row r="61" spans="1:33" ht="12.75" customHeight="1">
      <c r="A61" s="23" t="s">
        <v>55</v>
      </c>
      <c r="B61" s="24"/>
      <c r="C61" s="24">
        <v>21992260</v>
      </c>
      <c r="D61" s="146"/>
      <c r="E61" s="24">
        <v>10578428</v>
      </c>
      <c r="F61" s="146"/>
      <c r="G61" s="24">
        <v>19949574</v>
      </c>
      <c r="H61" s="146"/>
      <c r="I61" s="24">
        <v>11495509</v>
      </c>
      <c r="J61" s="146"/>
      <c r="K61" s="24">
        <v>24377658</v>
      </c>
      <c r="L61" s="146"/>
      <c r="M61" s="24">
        <v>15988908</v>
      </c>
      <c r="N61" s="146"/>
      <c r="O61" s="24">
        <f>1432185+347660</f>
        <v>1779845</v>
      </c>
      <c r="P61" s="146"/>
      <c r="Q61" s="24">
        <v>0</v>
      </c>
      <c r="R61" s="146"/>
      <c r="S61" s="24">
        <v>0</v>
      </c>
      <c r="T61" s="146"/>
      <c r="U61" s="24">
        <v>0</v>
      </c>
      <c r="V61" s="146"/>
      <c r="W61" s="24">
        <v>306928</v>
      </c>
      <c r="X61" s="146"/>
      <c r="Y61" s="146">
        <f t="shared" si="2"/>
        <v>106469110</v>
      </c>
      <c r="Z61" s="146"/>
      <c r="AA61" s="24">
        <v>1514014</v>
      </c>
      <c r="AB61" s="146"/>
      <c r="AC61" s="24">
        <v>99208979</v>
      </c>
      <c r="AD61" s="146"/>
      <c r="AE61" s="146">
        <f t="shared" si="4"/>
        <v>100722993</v>
      </c>
      <c r="AF61" s="25">
        <f>+'St of Net Assets - GA'!W61-'St of Activities - GA Exp'!AE61</f>
        <v>0</v>
      </c>
      <c r="AG61" s="28"/>
    </row>
    <row r="62" spans="1:33" ht="12.75" customHeight="1" hidden="1">
      <c r="A62" s="23" t="s">
        <v>171</v>
      </c>
      <c r="B62" s="24"/>
      <c r="C62" s="24">
        <v>0</v>
      </c>
      <c r="D62" s="146"/>
      <c r="E62" s="24">
        <v>0</v>
      </c>
      <c r="F62" s="146"/>
      <c r="G62" s="24">
        <v>0</v>
      </c>
      <c r="H62" s="146"/>
      <c r="I62" s="24">
        <v>0</v>
      </c>
      <c r="J62" s="146"/>
      <c r="K62" s="24">
        <v>0</v>
      </c>
      <c r="L62" s="146"/>
      <c r="M62" s="24">
        <v>0</v>
      </c>
      <c r="N62" s="146"/>
      <c r="O62" s="24">
        <v>0</v>
      </c>
      <c r="P62" s="146"/>
      <c r="Q62" s="24">
        <v>0</v>
      </c>
      <c r="R62" s="146"/>
      <c r="S62" s="24">
        <v>0</v>
      </c>
      <c r="T62" s="146"/>
      <c r="U62" s="24">
        <v>0</v>
      </c>
      <c r="V62" s="146"/>
      <c r="W62" s="24">
        <v>0</v>
      </c>
      <c r="X62" s="146"/>
      <c r="Y62" s="146">
        <f t="shared" si="2"/>
        <v>0</v>
      </c>
      <c r="Z62" s="146"/>
      <c r="AA62" s="24">
        <v>0</v>
      </c>
      <c r="AB62" s="146"/>
      <c r="AC62" s="24">
        <v>0</v>
      </c>
      <c r="AD62" s="146"/>
      <c r="AE62" s="146">
        <f t="shared" si="4"/>
        <v>0</v>
      </c>
      <c r="AF62" s="25">
        <f>+'St of Net Assets - GA'!W62-'St of Activities - GA Exp'!AE62</f>
        <v>0</v>
      </c>
      <c r="AG62" s="28"/>
    </row>
    <row r="63" spans="1:33" ht="12.75" customHeight="1" hidden="1">
      <c r="A63" s="23" t="s">
        <v>56</v>
      </c>
      <c r="B63" s="24"/>
      <c r="C63" s="24">
        <v>0</v>
      </c>
      <c r="D63" s="146"/>
      <c r="E63" s="24">
        <v>0</v>
      </c>
      <c r="F63" s="146"/>
      <c r="G63" s="24">
        <v>0</v>
      </c>
      <c r="H63" s="146"/>
      <c r="I63" s="24">
        <v>0</v>
      </c>
      <c r="J63" s="146"/>
      <c r="K63" s="24">
        <v>0</v>
      </c>
      <c r="L63" s="146"/>
      <c r="M63" s="24">
        <v>0</v>
      </c>
      <c r="N63" s="146"/>
      <c r="O63" s="24">
        <v>0</v>
      </c>
      <c r="P63" s="146"/>
      <c r="Q63" s="24">
        <v>0</v>
      </c>
      <c r="R63" s="146"/>
      <c r="S63" s="24">
        <v>0</v>
      </c>
      <c r="T63" s="146"/>
      <c r="U63" s="24">
        <v>0</v>
      </c>
      <c r="V63" s="146"/>
      <c r="W63" s="24">
        <v>0</v>
      </c>
      <c r="X63" s="146"/>
      <c r="Y63" s="146">
        <f t="shared" si="2"/>
        <v>0</v>
      </c>
      <c r="Z63" s="146"/>
      <c r="AA63" s="24">
        <v>0</v>
      </c>
      <c r="AB63" s="146"/>
      <c r="AC63" s="24">
        <v>0</v>
      </c>
      <c r="AD63" s="146"/>
      <c r="AE63" s="146">
        <f t="shared" si="4"/>
        <v>0</v>
      </c>
      <c r="AF63" s="25">
        <f>+'St of Net Assets - GA'!W63-'St of Activities - GA Exp'!AE63</f>
        <v>0</v>
      </c>
      <c r="AG63" s="28"/>
    </row>
    <row r="64" spans="1:33" ht="12.75" customHeight="1">
      <c r="A64" s="23" t="s">
        <v>57</v>
      </c>
      <c r="B64" s="24"/>
      <c r="C64" s="24">
        <v>12851916</v>
      </c>
      <c r="D64" s="146"/>
      <c r="E64" s="24">
        <v>0</v>
      </c>
      <c r="F64" s="146"/>
      <c r="G64" s="24">
        <v>18139014</v>
      </c>
      <c r="H64" s="146"/>
      <c r="I64" s="24">
        <v>11840755</v>
      </c>
      <c r="J64" s="146"/>
      <c r="K64" s="24">
        <v>14011503</v>
      </c>
      <c r="L64" s="146"/>
      <c r="M64" s="24">
        <v>12761984</v>
      </c>
      <c r="N64" s="146"/>
      <c r="O64" s="24">
        <v>0</v>
      </c>
      <c r="P64" s="146"/>
      <c r="Q64" s="24">
        <v>538551</v>
      </c>
      <c r="R64" s="146"/>
      <c r="S64" s="24">
        <v>0</v>
      </c>
      <c r="T64" s="146"/>
      <c r="U64" s="24">
        <v>0</v>
      </c>
      <c r="V64" s="146"/>
      <c r="W64" s="24">
        <v>351205</v>
      </c>
      <c r="X64" s="146"/>
      <c r="Y64" s="146">
        <f t="shared" si="2"/>
        <v>70494928</v>
      </c>
      <c r="Z64" s="146"/>
      <c r="AA64" s="24">
        <v>-15801</v>
      </c>
      <c r="AB64" s="146"/>
      <c r="AC64" s="24">
        <v>122441746</v>
      </c>
      <c r="AD64" s="146"/>
      <c r="AE64" s="146">
        <f t="shared" si="4"/>
        <v>122425945</v>
      </c>
      <c r="AF64" s="25">
        <f>+'St of Net Assets - GA'!W64-'St of Activities - GA Exp'!AE64</f>
        <v>0</v>
      </c>
      <c r="AG64" s="28"/>
    </row>
    <row r="65" spans="1:33" ht="12.75" customHeight="1">
      <c r="A65" s="23" t="s">
        <v>58</v>
      </c>
      <c r="B65" s="24"/>
      <c r="C65" s="24">
        <v>1768172</v>
      </c>
      <c r="D65" s="146"/>
      <c r="E65" s="24">
        <v>679190</v>
      </c>
      <c r="F65" s="146"/>
      <c r="G65" s="24">
        <v>2050249</v>
      </c>
      <c r="H65" s="146"/>
      <c r="I65" s="24">
        <v>3947620</v>
      </c>
      <c r="J65" s="146"/>
      <c r="K65" s="24">
        <v>2206222</v>
      </c>
      <c r="L65" s="146"/>
      <c r="M65" s="24">
        <v>2937349</v>
      </c>
      <c r="N65" s="146"/>
      <c r="O65" s="24">
        <v>1049965</v>
      </c>
      <c r="P65" s="146"/>
      <c r="Q65" s="24">
        <v>0</v>
      </c>
      <c r="R65" s="146"/>
      <c r="S65" s="24">
        <v>20512</v>
      </c>
      <c r="T65" s="146"/>
      <c r="U65" s="24">
        <v>0</v>
      </c>
      <c r="V65" s="146"/>
      <c r="W65" s="24">
        <v>0</v>
      </c>
      <c r="X65" s="146"/>
      <c r="Y65" s="146">
        <f t="shared" si="2"/>
        <v>14659279</v>
      </c>
      <c r="Z65" s="146"/>
      <c r="AA65" s="24">
        <v>1477159</v>
      </c>
      <c r="AB65" s="146"/>
      <c r="AC65" s="24">
        <v>22828016</v>
      </c>
      <c r="AD65" s="146"/>
      <c r="AE65" s="146">
        <f t="shared" si="4"/>
        <v>24305175</v>
      </c>
      <c r="AF65" s="25">
        <f>+'St of Net Assets - GA'!W65-'St of Activities - GA Exp'!AE65</f>
        <v>0</v>
      </c>
      <c r="AG65" s="28"/>
    </row>
    <row r="66" spans="1:33" ht="12.75" customHeight="1">
      <c r="A66" s="23" t="s">
        <v>59</v>
      </c>
      <c r="B66" s="24"/>
      <c r="C66" s="24">
        <v>47184127</v>
      </c>
      <c r="D66" s="24"/>
      <c r="E66" s="24">
        <v>165863588</v>
      </c>
      <c r="F66" s="24"/>
      <c r="G66" s="24">
        <v>0</v>
      </c>
      <c r="H66" s="24"/>
      <c r="I66" s="24">
        <v>19558766</v>
      </c>
      <c r="J66" s="24"/>
      <c r="K66" s="24">
        <v>0</v>
      </c>
      <c r="L66" s="24"/>
      <c r="M66" s="24">
        <v>273398775</v>
      </c>
      <c r="N66" s="24"/>
      <c r="O66" s="24">
        <v>16990933</v>
      </c>
      <c r="P66" s="24"/>
      <c r="Q66" s="24">
        <v>0</v>
      </c>
      <c r="R66" s="24"/>
      <c r="S66" s="24">
        <v>0</v>
      </c>
      <c r="T66" s="24"/>
      <c r="U66" s="24">
        <v>0</v>
      </c>
      <c r="V66" s="24"/>
      <c r="W66" s="24">
        <v>2028967</v>
      </c>
      <c r="X66" s="24"/>
      <c r="Y66" s="24">
        <f t="shared" si="2"/>
        <v>525025156</v>
      </c>
      <c r="Z66" s="24"/>
      <c r="AA66" s="24">
        <v>12408304</v>
      </c>
      <c r="AB66" s="24"/>
      <c r="AC66" s="24">
        <v>817077271</v>
      </c>
      <c r="AD66" s="24"/>
      <c r="AE66" s="24">
        <f t="shared" si="4"/>
        <v>829485575</v>
      </c>
      <c r="AF66" s="25">
        <f>+'St of Net Assets - GA'!W66-'St of Activities - GA Exp'!AE66</f>
        <v>0</v>
      </c>
      <c r="AG66" s="28"/>
    </row>
    <row r="67" spans="1:33" ht="12.75" customHeight="1" hidden="1">
      <c r="A67" s="23" t="s">
        <v>60</v>
      </c>
      <c r="B67" s="24"/>
      <c r="C67" s="24">
        <v>0</v>
      </c>
      <c r="D67" s="24"/>
      <c r="E67" s="24">
        <v>0</v>
      </c>
      <c r="F67" s="24"/>
      <c r="G67" s="24">
        <v>0</v>
      </c>
      <c r="H67" s="24"/>
      <c r="I67" s="24">
        <v>0</v>
      </c>
      <c r="J67" s="24"/>
      <c r="K67" s="24">
        <v>0</v>
      </c>
      <c r="L67" s="24"/>
      <c r="M67" s="24">
        <v>0</v>
      </c>
      <c r="N67" s="24"/>
      <c r="O67" s="24">
        <v>0</v>
      </c>
      <c r="P67" s="24"/>
      <c r="Q67" s="24">
        <v>0</v>
      </c>
      <c r="R67" s="24"/>
      <c r="S67" s="24">
        <v>0</v>
      </c>
      <c r="T67" s="24"/>
      <c r="U67" s="24">
        <v>0</v>
      </c>
      <c r="V67" s="24"/>
      <c r="W67" s="24">
        <v>0</v>
      </c>
      <c r="X67" s="24"/>
      <c r="Y67" s="24">
        <f t="shared" si="2"/>
        <v>0</v>
      </c>
      <c r="Z67" s="24"/>
      <c r="AA67" s="24">
        <v>0</v>
      </c>
      <c r="AB67" s="24"/>
      <c r="AC67" s="24">
        <v>0</v>
      </c>
      <c r="AD67" s="24"/>
      <c r="AE67" s="24">
        <f t="shared" si="4"/>
        <v>0</v>
      </c>
      <c r="AF67" s="25">
        <f>+'St of Net Assets - GA'!W67-'St of Activities - GA Exp'!AE67</f>
        <v>0</v>
      </c>
      <c r="AG67" s="28"/>
    </row>
    <row r="68" spans="1:33" ht="12.75" customHeight="1">
      <c r="A68" s="23" t="s">
        <v>97</v>
      </c>
      <c r="B68" s="24"/>
      <c r="C68" s="24">
        <v>3885316</v>
      </c>
      <c r="D68" s="24"/>
      <c r="E68" s="24">
        <v>1367054</v>
      </c>
      <c r="F68" s="24"/>
      <c r="G68" s="24">
        <v>3405908</v>
      </c>
      <c r="H68" s="24"/>
      <c r="I68" s="24">
        <v>4892993</v>
      </c>
      <c r="J68" s="24"/>
      <c r="K68" s="24">
        <v>2785390</v>
      </c>
      <c r="L68" s="24"/>
      <c r="M68" s="24">
        <v>7729973</v>
      </c>
      <c r="N68" s="24"/>
      <c r="O68" s="24">
        <v>1005031</v>
      </c>
      <c r="P68" s="24"/>
      <c r="Q68" s="24">
        <v>0</v>
      </c>
      <c r="R68" s="24"/>
      <c r="S68" s="24">
        <v>1137996</v>
      </c>
      <c r="T68" s="24"/>
      <c r="U68" s="24">
        <v>477237</v>
      </c>
      <c r="V68" s="24"/>
      <c r="W68" s="24">
        <v>300762</v>
      </c>
      <c r="X68" s="24"/>
      <c r="Y68" s="24">
        <f t="shared" si="2"/>
        <v>26987660</v>
      </c>
      <c r="Z68" s="24"/>
      <c r="AA68" s="24">
        <v>983481</v>
      </c>
      <c r="AB68" s="24"/>
      <c r="AC68" s="24">
        <v>37173924</v>
      </c>
      <c r="AD68" s="24"/>
      <c r="AE68" s="24">
        <f t="shared" si="4"/>
        <v>38157405</v>
      </c>
      <c r="AF68" s="25">
        <f>+'St of Net Assets - GA'!W68-'St of Activities - GA Exp'!AE68</f>
        <v>0</v>
      </c>
      <c r="AG68" s="28"/>
    </row>
    <row r="69" spans="1:33" ht="12.75" customHeight="1">
      <c r="A69" s="23" t="s">
        <v>61</v>
      </c>
      <c r="B69" s="24"/>
      <c r="C69" s="24">
        <v>10556466</v>
      </c>
      <c r="D69" s="24"/>
      <c r="E69" s="24">
        <v>6314627</v>
      </c>
      <c r="F69" s="24"/>
      <c r="G69" s="24">
        <v>12277179</v>
      </c>
      <c r="H69" s="24"/>
      <c r="I69" s="24">
        <f>7772558+610092</f>
        <v>8382650</v>
      </c>
      <c r="J69" s="24"/>
      <c r="K69" s="24">
        <f>1384312+1376193</f>
        <v>2760505</v>
      </c>
      <c r="L69" s="24"/>
      <c r="M69" s="24">
        <v>32352933</v>
      </c>
      <c r="N69" s="24"/>
      <c r="O69" s="24">
        <v>0</v>
      </c>
      <c r="P69" s="24"/>
      <c r="Q69" s="24">
        <v>0</v>
      </c>
      <c r="R69" s="24"/>
      <c r="S69" s="24">
        <v>0</v>
      </c>
      <c r="T69" s="24"/>
      <c r="U69" s="24">
        <v>0</v>
      </c>
      <c r="V69" s="24"/>
      <c r="W69" s="24">
        <v>567813</v>
      </c>
      <c r="X69" s="24"/>
      <c r="Y69" s="24">
        <f t="shared" si="2"/>
        <v>73212173</v>
      </c>
      <c r="Z69" s="24"/>
      <c r="AA69" s="24">
        <v>5629295</v>
      </c>
      <c r="AB69" s="24"/>
      <c r="AC69" s="24">
        <v>126779234</v>
      </c>
      <c r="AD69" s="24"/>
      <c r="AE69" s="24">
        <f t="shared" si="4"/>
        <v>132408529</v>
      </c>
      <c r="AF69" s="25">
        <f>+'St of Net Assets - GA'!W69-'St of Activities - GA Exp'!AE69</f>
        <v>0</v>
      </c>
      <c r="AG69" s="28"/>
    </row>
    <row r="70" spans="1:33" ht="12.75" customHeight="1">
      <c r="A70" s="23" t="s">
        <v>62</v>
      </c>
      <c r="B70" s="24"/>
      <c r="C70" s="24">
        <v>1727163</v>
      </c>
      <c r="D70" s="24"/>
      <c r="E70" s="24">
        <v>479797</v>
      </c>
      <c r="F70" s="24"/>
      <c r="G70" s="24">
        <v>1473183</v>
      </c>
      <c r="H70" s="24"/>
      <c r="I70" s="24">
        <v>3565188</v>
      </c>
      <c r="J70" s="24"/>
      <c r="K70" s="24">
        <v>768239</v>
      </c>
      <c r="L70" s="24"/>
      <c r="M70" s="24">
        <v>3403151</v>
      </c>
      <c r="N70" s="24"/>
      <c r="O70" s="24">
        <f>303136+589478</f>
        <v>892614</v>
      </c>
      <c r="P70" s="24"/>
      <c r="Q70" s="24">
        <v>0</v>
      </c>
      <c r="R70" s="24"/>
      <c r="S70" s="24">
        <v>0</v>
      </c>
      <c r="T70" s="24"/>
      <c r="U70" s="24">
        <v>0</v>
      </c>
      <c r="V70" s="24"/>
      <c r="W70" s="24">
        <v>35578</v>
      </c>
      <c r="X70" s="24"/>
      <c r="Y70" s="24">
        <f t="shared" si="2"/>
        <v>12344913</v>
      </c>
      <c r="Z70" s="24"/>
      <c r="AA70" s="24">
        <v>250249</v>
      </c>
      <c r="AB70" s="24"/>
      <c r="AC70" s="24">
        <v>31173896</v>
      </c>
      <c r="AD70" s="24"/>
      <c r="AE70" s="24">
        <f t="shared" si="4"/>
        <v>31424145</v>
      </c>
      <c r="AF70" s="25">
        <f>+'St of Net Assets - GA'!W70-'St of Activities - GA Exp'!AE70</f>
        <v>0</v>
      </c>
      <c r="AG70" s="28"/>
    </row>
    <row r="71" spans="1:33" ht="12.75" customHeight="1" hidden="1">
      <c r="A71" s="23" t="s">
        <v>63</v>
      </c>
      <c r="B71" s="24"/>
      <c r="C71" s="24">
        <v>0</v>
      </c>
      <c r="D71" s="24"/>
      <c r="E71" s="24">
        <v>0</v>
      </c>
      <c r="F71" s="24"/>
      <c r="G71" s="24">
        <v>0</v>
      </c>
      <c r="H71" s="24"/>
      <c r="I71" s="24">
        <v>0</v>
      </c>
      <c r="J71" s="24"/>
      <c r="K71" s="24">
        <v>0</v>
      </c>
      <c r="L71" s="24"/>
      <c r="M71" s="24">
        <v>0</v>
      </c>
      <c r="N71" s="24"/>
      <c r="O71" s="24">
        <v>0</v>
      </c>
      <c r="P71" s="24"/>
      <c r="Q71" s="24">
        <v>0</v>
      </c>
      <c r="R71" s="24"/>
      <c r="S71" s="24">
        <v>0</v>
      </c>
      <c r="T71" s="24"/>
      <c r="U71" s="24">
        <v>0</v>
      </c>
      <c r="V71" s="24"/>
      <c r="W71" s="24">
        <v>0</v>
      </c>
      <c r="X71" s="24"/>
      <c r="Y71" s="24">
        <f t="shared" si="2"/>
        <v>0</v>
      </c>
      <c r="Z71" s="24"/>
      <c r="AA71" s="24">
        <v>0</v>
      </c>
      <c r="AB71" s="24"/>
      <c r="AC71" s="24">
        <v>0</v>
      </c>
      <c r="AD71" s="24"/>
      <c r="AE71" s="24">
        <f t="shared" si="4"/>
        <v>0</v>
      </c>
      <c r="AF71" s="25">
        <f>+'St of Net Assets - GA'!W71-'St of Activities - GA Exp'!AE71</f>
        <v>0</v>
      </c>
      <c r="AG71" s="28"/>
    </row>
    <row r="72" spans="1:33" ht="12.75" customHeight="1" hidden="1">
      <c r="A72" s="23" t="s">
        <v>132</v>
      </c>
      <c r="B72" s="24"/>
      <c r="C72" s="24">
        <v>0</v>
      </c>
      <c r="D72" s="24"/>
      <c r="E72" s="24">
        <v>0</v>
      </c>
      <c r="F72" s="24"/>
      <c r="G72" s="24">
        <v>0</v>
      </c>
      <c r="H72" s="24"/>
      <c r="I72" s="24">
        <v>0</v>
      </c>
      <c r="J72" s="24"/>
      <c r="K72" s="24">
        <v>0</v>
      </c>
      <c r="L72" s="24"/>
      <c r="M72" s="24">
        <v>0</v>
      </c>
      <c r="N72" s="24"/>
      <c r="O72" s="24">
        <v>0</v>
      </c>
      <c r="P72" s="24"/>
      <c r="Q72" s="24">
        <v>0</v>
      </c>
      <c r="R72" s="24"/>
      <c r="S72" s="24">
        <v>0</v>
      </c>
      <c r="T72" s="24"/>
      <c r="U72" s="24">
        <v>0</v>
      </c>
      <c r="V72" s="24"/>
      <c r="W72" s="24">
        <v>0</v>
      </c>
      <c r="X72" s="24"/>
      <c r="Y72" s="24">
        <f t="shared" si="2"/>
        <v>0</v>
      </c>
      <c r="Z72" s="24"/>
      <c r="AA72" s="24">
        <v>0</v>
      </c>
      <c r="AB72" s="24"/>
      <c r="AC72" s="24">
        <v>0</v>
      </c>
      <c r="AD72" s="24"/>
      <c r="AE72" s="24">
        <f t="shared" si="4"/>
        <v>0</v>
      </c>
      <c r="AF72" s="25">
        <f>+'St of Net Assets - GA'!W72-'St of Activities - GA Exp'!AE72</f>
        <v>0</v>
      </c>
      <c r="AG72" s="28"/>
    </row>
    <row r="73" spans="1:33" ht="12.75" customHeight="1" hidden="1">
      <c r="A73" s="23" t="s">
        <v>64</v>
      </c>
      <c r="B73" s="24"/>
      <c r="C73" s="24">
        <v>0</v>
      </c>
      <c r="D73" s="24"/>
      <c r="E73" s="24">
        <v>0</v>
      </c>
      <c r="F73" s="24"/>
      <c r="G73" s="24">
        <v>0</v>
      </c>
      <c r="H73" s="24"/>
      <c r="I73" s="24">
        <v>0</v>
      </c>
      <c r="J73" s="24"/>
      <c r="K73" s="24">
        <v>0</v>
      </c>
      <c r="L73" s="24"/>
      <c r="M73" s="24">
        <v>0</v>
      </c>
      <c r="N73" s="24"/>
      <c r="O73" s="24">
        <v>0</v>
      </c>
      <c r="P73" s="24"/>
      <c r="Q73" s="24">
        <v>0</v>
      </c>
      <c r="R73" s="24"/>
      <c r="S73" s="24">
        <v>0</v>
      </c>
      <c r="T73" s="24"/>
      <c r="U73" s="24">
        <v>0</v>
      </c>
      <c r="V73" s="24"/>
      <c r="W73" s="24">
        <v>0</v>
      </c>
      <c r="X73" s="24"/>
      <c r="Y73" s="24">
        <f t="shared" si="2"/>
        <v>0</v>
      </c>
      <c r="Z73" s="24"/>
      <c r="AA73" s="24">
        <v>0</v>
      </c>
      <c r="AB73" s="24"/>
      <c r="AC73" s="24">
        <v>0</v>
      </c>
      <c r="AD73" s="24"/>
      <c r="AE73" s="24">
        <f t="shared" si="4"/>
        <v>0</v>
      </c>
      <c r="AF73" s="25">
        <f>+'St of Net Assets - GA'!W73-'St of Activities - GA Exp'!AE73</f>
        <v>0</v>
      </c>
      <c r="AG73" s="28"/>
    </row>
    <row r="74" spans="1:33" ht="12.75" customHeight="1">
      <c r="A74" s="23" t="s">
        <v>65</v>
      </c>
      <c r="B74" s="24"/>
      <c r="C74" s="24">
        <v>5612743</v>
      </c>
      <c r="D74" s="24"/>
      <c r="E74" s="24">
        <v>2311272</v>
      </c>
      <c r="F74" s="24"/>
      <c r="G74" s="24">
        <v>7268498</v>
      </c>
      <c r="H74" s="24"/>
      <c r="I74" s="24">
        <v>3286465</v>
      </c>
      <c r="J74" s="24"/>
      <c r="K74" s="24">
        <v>3758377</v>
      </c>
      <c r="L74" s="24"/>
      <c r="M74" s="24">
        <v>8087514</v>
      </c>
      <c r="N74" s="24"/>
      <c r="O74" s="24">
        <v>577266</v>
      </c>
      <c r="P74" s="24"/>
      <c r="Q74" s="24">
        <v>439563</v>
      </c>
      <c r="R74" s="24"/>
      <c r="S74" s="24">
        <v>124283</v>
      </c>
      <c r="T74" s="24"/>
      <c r="U74" s="24">
        <v>0</v>
      </c>
      <c r="V74" s="24"/>
      <c r="W74" s="24">
        <v>30762</v>
      </c>
      <c r="X74" s="24"/>
      <c r="Y74" s="24">
        <f t="shared" si="2"/>
        <v>31496743</v>
      </c>
      <c r="Z74" s="24"/>
      <c r="AA74" s="24">
        <v>2575627</v>
      </c>
      <c r="AB74" s="24"/>
      <c r="AC74" s="24">
        <v>58448940</v>
      </c>
      <c r="AD74" s="24"/>
      <c r="AE74" s="24">
        <f t="shared" si="4"/>
        <v>61024567</v>
      </c>
      <c r="AF74" s="25">
        <f>+'St of Net Assets - GA'!W74-'St of Activities - GA Exp'!AE74</f>
        <v>0</v>
      </c>
      <c r="AG74" s="28"/>
    </row>
    <row r="75" spans="1:33" ht="12.75" customHeight="1">
      <c r="A75" s="23" t="s">
        <v>66</v>
      </c>
      <c r="B75" s="24"/>
      <c r="C75" s="24">
        <v>3983608</v>
      </c>
      <c r="D75" s="24"/>
      <c r="E75" s="24">
        <v>1249126</v>
      </c>
      <c r="F75" s="24"/>
      <c r="G75" s="24">
        <v>2940383</v>
      </c>
      <c r="H75" s="24"/>
      <c r="I75" s="24">
        <v>5735405</v>
      </c>
      <c r="J75" s="24"/>
      <c r="K75" s="24">
        <v>3740545</v>
      </c>
      <c r="L75" s="24"/>
      <c r="M75" s="24">
        <v>5404580</v>
      </c>
      <c r="N75" s="24"/>
      <c r="O75" s="24">
        <v>406270</v>
      </c>
      <c r="P75" s="24"/>
      <c r="Q75" s="24">
        <v>301670</v>
      </c>
      <c r="R75" s="24"/>
      <c r="S75" s="24">
        <v>0</v>
      </c>
      <c r="T75" s="24"/>
      <c r="U75" s="24">
        <v>0</v>
      </c>
      <c r="V75" s="24"/>
      <c r="W75" s="24">
        <v>238433</v>
      </c>
      <c r="X75" s="24"/>
      <c r="Y75" s="24">
        <f t="shared" si="2"/>
        <v>24000020</v>
      </c>
      <c r="Z75" s="24"/>
      <c r="AA75" s="24">
        <v>4681524</v>
      </c>
      <c r="AB75" s="24"/>
      <c r="AC75" s="24">
        <v>51539127</v>
      </c>
      <c r="AD75" s="24"/>
      <c r="AE75" s="24">
        <f t="shared" si="4"/>
        <v>56220651</v>
      </c>
      <c r="AF75" s="25">
        <f>+'St of Net Assets - GA'!W75-'St of Activities - GA Exp'!AE75</f>
        <v>0</v>
      </c>
      <c r="AG75" s="28"/>
    </row>
    <row r="76" spans="1:33" ht="12.75" customHeight="1">
      <c r="A76" s="23" t="s">
        <v>67</v>
      </c>
      <c r="B76" s="24"/>
      <c r="C76" s="24">
        <v>20223876</v>
      </c>
      <c r="D76" s="24"/>
      <c r="E76" s="24">
        <v>10384799</v>
      </c>
      <c r="F76" s="24"/>
      <c r="G76" s="24">
        <v>16633078</v>
      </c>
      <c r="H76" s="24"/>
      <c r="I76" s="24">
        <v>9109063</v>
      </c>
      <c r="J76" s="24"/>
      <c r="K76" s="24">
        <v>34831584</v>
      </c>
      <c r="L76" s="24"/>
      <c r="M76" s="24">
        <v>22847102</v>
      </c>
      <c r="N76" s="24"/>
      <c r="O76" s="24">
        <v>0</v>
      </c>
      <c r="P76" s="24"/>
      <c r="Q76" s="24">
        <v>0</v>
      </c>
      <c r="R76" s="24"/>
      <c r="S76" s="24">
        <v>0</v>
      </c>
      <c r="T76" s="24"/>
      <c r="U76" s="24">
        <v>0</v>
      </c>
      <c r="V76" s="24"/>
      <c r="W76" s="24">
        <v>1087187</v>
      </c>
      <c r="X76" s="24"/>
      <c r="Y76" s="24">
        <f t="shared" si="2"/>
        <v>115116689</v>
      </c>
      <c r="Z76" s="24"/>
      <c r="AA76" s="24">
        <v>-263133</v>
      </c>
      <c r="AB76" s="24"/>
      <c r="AC76" s="24">
        <v>154791913</v>
      </c>
      <c r="AD76" s="24"/>
      <c r="AE76" s="24">
        <f t="shared" si="4"/>
        <v>154528780</v>
      </c>
      <c r="AF76" s="25">
        <f>+'St of Net Assets - GA'!W76-'St of Activities - GA Exp'!AE76</f>
        <v>0</v>
      </c>
      <c r="AG76" s="28"/>
    </row>
    <row r="77" spans="1:33" ht="12.75" customHeight="1">
      <c r="A77" s="23" t="s">
        <v>68</v>
      </c>
      <c r="B77" s="24"/>
      <c r="C77" s="24">
        <v>3761183</v>
      </c>
      <c r="D77" s="24"/>
      <c r="E77" s="24">
        <v>1835724</v>
      </c>
      <c r="F77" s="24"/>
      <c r="G77" s="24">
        <v>4157417</v>
      </c>
      <c r="H77" s="24"/>
      <c r="I77" s="24">
        <v>4598860</v>
      </c>
      <c r="J77" s="24"/>
      <c r="K77" s="24">
        <v>2592907</v>
      </c>
      <c r="L77" s="24"/>
      <c r="M77" s="24">
        <v>8095635</v>
      </c>
      <c r="N77" s="24"/>
      <c r="O77" s="24">
        <v>866964</v>
      </c>
      <c r="P77" s="24"/>
      <c r="Q77" s="24">
        <v>0</v>
      </c>
      <c r="R77" s="24"/>
      <c r="S77" s="24">
        <v>0</v>
      </c>
      <c r="T77" s="24"/>
      <c r="U77" s="24">
        <v>48141</v>
      </c>
      <c r="V77" s="24"/>
      <c r="W77" s="24">
        <v>79984</v>
      </c>
      <c r="X77" s="24"/>
      <c r="Y77" s="24">
        <f t="shared" si="2"/>
        <v>26036815</v>
      </c>
      <c r="Z77" s="24"/>
      <c r="AA77" s="24">
        <v>2497810</v>
      </c>
      <c r="AB77" s="24"/>
      <c r="AC77" s="24">
        <v>37902332</v>
      </c>
      <c r="AD77" s="24"/>
      <c r="AE77" s="24">
        <f t="shared" si="4"/>
        <v>40400142</v>
      </c>
      <c r="AF77" s="25">
        <f>+'St of Net Assets - GA'!W77-'St of Activities - GA Exp'!AE77</f>
        <v>0</v>
      </c>
      <c r="AG77" s="28"/>
    </row>
    <row r="78" spans="1:33" ht="12.75" customHeight="1" hidden="1">
      <c r="A78" s="23" t="s">
        <v>176</v>
      </c>
      <c r="B78" s="24"/>
      <c r="C78" s="24"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v>0</v>
      </c>
      <c r="T78" s="24"/>
      <c r="U78" s="24">
        <v>0</v>
      </c>
      <c r="V78" s="24"/>
      <c r="W78" s="24">
        <v>0</v>
      </c>
      <c r="X78" s="24"/>
      <c r="Y78" s="24">
        <f t="shared" si="2"/>
        <v>0</v>
      </c>
      <c r="Z78" s="24"/>
      <c r="AA78" s="24">
        <v>0</v>
      </c>
      <c r="AB78" s="24"/>
      <c r="AC78" s="24">
        <v>0</v>
      </c>
      <c r="AD78" s="24"/>
      <c r="AE78" s="24">
        <f t="shared" si="4"/>
        <v>0</v>
      </c>
      <c r="AF78" s="25">
        <f>+'St of Net Assets - GA'!W78-'St of Activities - GA Exp'!AE78</f>
        <v>0</v>
      </c>
      <c r="AG78" s="28"/>
    </row>
    <row r="79" spans="3:33" ht="12.75" customHeight="1">
      <c r="C79" s="24"/>
      <c r="E79" s="24"/>
      <c r="G79" s="24"/>
      <c r="I79" s="24"/>
      <c r="K79" s="24"/>
      <c r="M79" s="24"/>
      <c r="O79" s="24"/>
      <c r="Q79" s="24"/>
      <c r="S79" s="24"/>
      <c r="U79" s="24"/>
      <c r="W79" s="24"/>
      <c r="AA79" s="24"/>
      <c r="AC79" s="24"/>
      <c r="AG79" s="28"/>
    </row>
    <row r="80" spans="3:33" ht="12.75" customHeight="1">
      <c r="C80" s="24"/>
      <c r="E80" s="24"/>
      <c r="G80" s="24"/>
      <c r="I80" s="24"/>
      <c r="K80" s="24"/>
      <c r="M80" s="24"/>
      <c r="O80" s="24"/>
      <c r="Q80" s="24"/>
      <c r="S80" s="24"/>
      <c r="U80" s="24"/>
      <c r="W80" s="24"/>
      <c r="Y80" s="126" t="s">
        <v>249</v>
      </c>
      <c r="AA80" s="24"/>
      <c r="AC80" s="24"/>
      <c r="AG80" s="28"/>
    </row>
    <row r="81" spans="1:33" ht="12.75" customHeight="1">
      <c r="A81" s="23" t="s">
        <v>178</v>
      </c>
      <c r="B81" s="24"/>
      <c r="C81" s="44">
        <f>10401285+334733</f>
        <v>10736018</v>
      </c>
      <c r="D81" s="44"/>
      <c r="E81" s="44">
        <v>10236257</v>
      </c>
      <c r="F81" s="44"/>
      <c r="G81" s="44">
        <v>13560903</v>
      </c>
      <c r="H81" s="44"/>
      <c r="I81" s="44">
        <v>9466054</v>
      </c>
      <c r="J81" s="44"/>
      <c r="K81" s="44">
        <f>34897626+409129</f>
        <v>35306755</v>
      </c>
      <c r="L81" s="44"/>
      <c r="M81" s="44">
        <f>24851758+913259</f>
        <v>25765017</v>
      </c>
      <c r="N81" s="44"/>
      <c r="O81" s="44">
        <v>453456</v>
      </c>
      <c r="P81" s="44"/>
      <c r="Q81" s="44">
        <v>144876</v>
      </c>
      <c r="R81" s="44"/>
      <c r="S81" s="44">
        <v>0</v>
      </c>
      <c r="T81" s="44"/>
      <c r="U81" s="44">
        <v>0</v>
      </c>
      <c r="V81" s="44"/>
      <c r="W81" s="44">
        <v>1945411</v>
      </c>
      <c r="X81" s="44"/>
      <c r="Y81" s="44">
        <f aca="true" t="shared" si="5" ref="Y81:Y87">SUM(C81:W81)</f>
        <v>107614747</v>
      </c>
      <c r="Z81" s="44"/>
      <c r="AA81" s="44">
        <v>-2452715</v>
      </c>
      <c r="AB81" s="44"/>
      <c r="AC81" s="44">
        <v>138267676</v>
      </c>
      <c r="AD81" s="44"/>
      <c r="AE81" s="44">
        <f aca="true" t="shared" si="6" ref="AE81:AE87">+AC81+AA81</f>
        <v>135814961</v>
      </c>
      <c r="AF81" s="25">
        <f>+'St of Net Assets - GA'!W81-'St of Activities - GA Exp'!AE81</f>
        <v>0</v>
      </c>
      <c r="AG81" s="28"/>
    </row>
    <row r="82" spans="1:33" ht="12.75" customHeight="1">
      <c r="A82" s="23" t="s">
        <v>69</v>
      </c>
      <c r="B82" s="24"/>
      <c r="C82" s="24">
        <v>7073093</v>
      </c>
      <c r="D82" s="24"/>
      <c r="E82" s="24">
        <v>3939912</v>
      </c>
      <c r="F82" s="24"/>
      <c r="G82" s="24">
        <v>9670250</v>
      </c>
      <c r="H82" s="24"/>
      <c r="I82" s="24">
        <v>8232899</v>
      </c>
      <c r="J82" s="24"/>
      <c r="K82" s="24">
        <v>688518</v>
      </c>
      <c r="L82" s="24"/>
      <c r="M82" s="24">
        <v>22501002</v>
      </c>
      <c r="N82" s="24"/>
      <c r="O82" s="24">
        <v>1798263</v>
      </c>
      <c r="P82" s="24"/>
      <c r="Q82" s="24">
        <v>0</v>
      </c>
      <c r="R82" s="24"/>
      <c r="S82" s="24">
        <v>0</v>
      </c>
      <c r="T82" s="24"/>
      <c r="U82" s="24">
        <v>15975</v>
      </c>
      <c r="V82" s="24"/>
      <c r="W82" s="24">
        <v>522118</v>
      </c>
      <c r="X82" s="24"/>
      <c r="Y82" s="24">
        <f t="shared" si="5"/>
        <v>54442030</v>
      </c>
      <c r="Z82" s="24"/>
      <c r="AA82" s="24">
        <v>696640</v>
      </c>
      <c r="AB82" s="24"/>
      <c r="AC82" s="24">
        <v>44553093</v>
      </c>
      <c r="AD82" s="24"/>
      <c r="AE82" s="24">
        <f t="shared" si="6"/>
        <v>45249733</v>
      </c>
      <c r="AF82" s="25">
        <f>+'St of Net Assets - GA'!W82-'St of Activities - GA Exp'!AE82</f>
        <v>0</v>
      </c>
      <c r="AG82" s="28"/>
    </row>
    <row r="83" spans="1:33" ht="12.75" customHeight="1">
      <c r="A83" s="23" t="s">
        <v>98</v>
      </c>
      <c r="B83" s="24"/>
      <c r="C83" s="24">
        <v>5771793</v>
      </c>
      <c r="D83" s="24"/>
      <c r="E83" s="24">
        <v>3761078</v>
      </c>
      <c r="F83" s="24"/>
      <c r="G83" s="24">
        <v>9479347</v>
      </c>
      <c r="H83" s="24"/>
      <c r="I83" s="24">
        <v>5856964</v>
      </c>
      <c r="J83" s="24"/>
      <c r="K83" s="24">
        <v>445732</v>
      </c>
      <c r="L83" s="24"/>
      <c r="M83" s="24">
        <v>21445322</v>
      </c>
      <c r="N83" s="24"/>
      <c r="O83" s="24">
        <v>449141</v>
      </c>
      <c r="P83" s="24"/>
      <c r="Q83" s="24">
        <v>0</v>
      </c>
      <c r="R83" s="24"/>
      <c r="S83" s="24">
        <v>0</v>
      </c>
      <c r="T83" s="24"/>
      <c r="U83" s="24">
        <v>163000</v>
      </c>
      <c r="V83" s="24"/>
      <c r="W83" s="24">
        <v>197052</v>
      </c>
      <c r="X83" s="24"/>
      <c r="Y83" s="24">
        <f t="shared" si="5"/>
        <v>47569429</v>
      </c>
      <c r="Z83" s="24"/>
      <c r="AA83" s="24">
        <v>2226275</v>
      </c>
      <c r="AB83" s="24"/>
      <c r="AC83" s="24">
        <v>69604678</v>
      </c>
      <c r="AD83" s="24"/>
      <c r="AE83" s="24">
        <f t="shared" si="6"/>
        <v>71830953</v>
      </c>
      <c r="AF83" s="25">
        <f>+'St of Net Assets - GA'!W83-'St of Activities - GA Exp'!AE83</f>
        <v>0</v>
      </c>
      <c r="AG83" s="28"/>
    </row>
    <row r="84" spans="1:33" ht="12.75" customHeight="1">
      <c r="A84" s="23" t="s">
        <v>70</v>
      </c>
      <c r="B84" s="24"/>
      <c r="C84" s="24">
        <v>7433426</v>
      </c>
      <c r="D84" s="24"/>
      <c r="E84" s="24">
        <v>2214279</v>
      </c>
      <c r="F84" s="24"/>
      <c r="G84" s="24">
        <f>4994315+2078675</f>
        <v>7072990</v>
      </c>
      <c r="H84" s="24"/>
      <c r="I84" s="24">
        <v>5328797</v>
      </c>
      <c r="J84" s="24"/>
      <c r="K84" s="24">
        <v>9409293</v>
      </c>
      <c r="L84" s="24"/>
      <c r="M84" s="24">
        <v>12519381</v>
      </c>
      <c r="N84" s="24"/>
      <c r="O84" s="24">
        <v>712439</v>
      </c>
      <c r="P84" s="24"/>
      <c r="Q84" s="24">
        <v>655565</v>
      </c>
      <c r="R84" s="24"/>
      <c r="S84" s="24">
        <f>866964</f>
        <v>866964</v>
      </c>
      <c r="T84" s="24"/>
      <c r="U84" s="24">
        <v>0</v>
      </c>
      <c r="V84" s="24"/>
      <c r="W84" s="24">
        <v>812375</v>
      </c>
      <c r="X84" s="24"/>
      <c r="Y84" s="24">
        <f t="shared" si="5"/>
        <v>47025509</v>
      </c>
      <c r="Z84" s="24"/>
      <c r="AA84" s="24">
        <v>6325815</v>
      </c>
      <c r="AB84" s="24"/>
      <c r="AC84" s="24">
        <v>84936858</v>
      </c>
      <c r="AD84" s="24"/>
      <c r="AE84" s="24">
        <f t="shared" si="6"/>
        <v>91262673</v>
      </c>
      <c r="AF84" s="25">
        <f>+'St of Net Assets - GA'!W84-'St of Activities - GA Exp'!AE84</f>
        <v>0</v>
      </c>
      <c r="AG84" s="28"/>
    </row>
    <row r="85" spans="1:33" ht="12.75" customHeight="1">
      <c r="A85" s="23" t="s">
        <v>71</v>
      </c>
      <c r="B85" s="24"/>
      <c r="C85" s="24">
        <v>6607949</v>
      </c>
      <c r="D85" s="24"/>
      <c r="E85" s="24">
        <v>2789182</v>
      </c>
      <c r="F85" s="24"/>
      <c r="G85" s="24">
        <v>7045536</v>
      </c>
      <c r="H85" s="24"/>
      <c r="I85" s="24">
        <v>5459357</v>
      </c>
      <c r="J85" s="24"/>
      <c r="K85" s="24">
        <v>8111894</v>
      </c>
      <c r="L85" s="24"/>
      <c r="M85" s="24">
        <v>8534447</v>
      </c>
      <c r="N85" s="24"/>
      <c r="O85" s="24">
        <v>31267</v>
      </c>
      <c r="P85" s="24"/>
      <c r="Q85" s="24">
        <v>311366</v>
      </c>
      <c r="R85" s="24"/>
      <c r="S85" s="24">
        <v>0</v>
      </c>
      <c r="T85" s="24"/>
      <c r="U85" s="24">
        <v>0</v>
      </c>
      <c r="V85" s="24"/>
      <c r="W85" s="24">
        <v>183747</v>
      </c>
      <c r="X85" s="24"/>
      <c r="Y85" s="24">
        <f t="shared" si="5"/>
        <v>39074745</v>
      </c>
      <c r="Z85" s="24"/>
      <c r="AA85" s="24">
        <v>5441484</v>
      </c>
      <c r="AB85" s="24"/>
      <c r="AC85" s="24">
        <v>86340883</v>
      </c>
      <c r="AD85" s="24"/>
      <c r="AE85" s="24">
        <f t="shared" si="6"/>
        <v>91782367</v>
      </c>
      <c r="AF85" s="25">
        <f>+'St of Net Assets - GA'!W85-'St of Activities - GA Exp'!AE85</f>
        <v>0</v>
      </c>
      <c r="AG85" s="28"/>
    </row>
    <row r="86" spans="1:33" ht="12.75" customHeight="1">
      <c r="A86" s="23" t="s">
        <v>72</v>
      </c>
      <c r="B86" s="24"/>
      <c r="C86" s="24">
        <v>4884850</v>
      </c>
      <c r="D86" s="24"/>
      <c r="E86" s="24">
        <v>2559637</v>
      </c>
      <c r="F86" s="24"/>
      <c r="G86" s="24">
        <v>5191064</v>
      </c>
      <c r="H86" s="24"/>
      <c r="I86" s="24">
        <v>10731986</v>
      </c>
      <c r="J86" s="24"/>
      <c r="K86" s="24">
        <v>242250</v>
      </c>
      <c r="L86" s="24"/>
      <c r="M86" s="24">
        <v>14202345</v>
      </c>
      <c r="N86" s="24"/>
      <c r="O86" s="24">
        <v>372597</v>
      </c>
      <c r="P86" s="24"/>
      <c r="Q86" s="24">
        <v>0</v>
      </c>
      <c r="R86" s="24"/>
      <c r="S86" s="24">
        <v>0</v>
      </c>
      <c r="T86" s="24"/>
      <c r="U86" s="24">
        <v>292541</v>
      </c>
      <c r="V86" s="24"/>
      <c r="W86" s="24">
        <v>38965</v>
      </c>
      <c r="X86" s="24"/>
      <c r="Y86" s="24">
        <f t="shared" si="5"/>
        <v>38516235</v>
      </c>
      <c r="Z86" s="24"/>
      <c r="AA86" s="24">
        <v>-1835218</v>
      </c>
      <c r="AB86" s="24"/>
      <c r="AC86" s="24">
        <v>110534892</v>
      </c>
      <c r="AD86" s="24"/>
      <c r="AE86" s="24">
        <f t="shared" si="6"/>
        <v>108699674</v>
      </c>
      <c r="AF86" s="25">
        <f>+'St of Net Assets - GA'!W86-'St of Activities - GA Exp'!AE86</f>
        <v>0</v>
      </c>
      <c r="AG86" s="28"/>
    </row>
    <row r="87" spans="1:33" ht="12.75" customHeight="1">
      <c r="A87" s="23" t="s">
        <v>73</v>
      </c>
      <c r="B87" s="24"/>
      <c r="C87" s="24">
        <v>27652672</v>
      </c>
      <c r="D87" s="24"/>
      <c r="E87" s="24">
        <v>16259692</v>
      </c>
      <c r="F87" s="24"/>
      <c r="G87" s="24">
        <v>27189232</v>
      </c>
      <c r="H87" s="24"/>
      <c r="I87" s="24">
        <v>23379836</v>
      </c>
      <c r="J87" s="24"/>
      <c r="K87" s="24">
        <v>84524663</v>
      </c>
      <c r="L87" s="24"/>
      <c r="M87" s="24">
        <v>54445251</v>
      </c>
      <c r="N87" s="24"/>
      <c r="O87" s="24">
        <v>0</v>
      </c>
      <c r="P87" s="24"/>
      <c r="Q87" s="24">
        <v>0</v>
      </c>
      <c r="R87" s="24"/>
      <c r="S87" s="24">
        <v>0</v>
      </c>
      <c r="T87" s="24"/>
      <c r="U87" s="24">
        <v>79888</v>
      </c>
      <c r="V87" s="24"/>
      <c r="W87" s="24">
        <f>204749+39378</f>
        <v>244127</v>
      </c>
      <c r="X87" s="24"/>
      <c r="Y87" s="24">
        <f t="shared" si="5"/>
        <v>233775361</v>
      </c>
      <c r="Z87" s="24"/>
      <c r="AA87" s="24">
        <v>25185237</v>
      </c>
      <c r="AB87" s="24"/>
      <c r="AC87" s="24">
        <v>284546171</v>
      </c>
      <c r="AD87" s="24"/>
      <c r="AE87" s="24">
        <f t="shared" si="6"/>
        <v>309731408</v>
      </c>
      <c r="AF87" s="25">
        <f>+'St of Net Assets - GA'!W87-'St of Activities - GA Exp'!AE87</f>
        <v>0</v>
      </c>
      <c r="AG87" s="28"/>
    </row>
    <row r="88" spans="1:34" ht="12.75" customHeight="1" hidden="1">
      <c r="A88" s="23" t="s">
        <v>74</v>
      </c>
      <c r="B88" s="24"/>
      <c r="C88" s="24">
        <v>0</v>
      </c>
      <c r="D88" s="24"/>
      <c r="E88" s="24">
        <v>0</v>
      </c>
      <c r="F88" s="24"/>
      <c r="G88" s="24">
        <v>0</v>
      </c>
      <c r="H88" s="24"/>
      <c r="I88" s="24">
        <v>0</v>
      </c>
      <c r="J88" s="24"/>
      <c r="K88" s="24">
        <v>0</v>
      </c>
      <c r="L88" s="24"/>
      <c r="M88" s="24">
        <v>0</v>
      </c>
      <c r="N88" s="24"/>
      <c r="O88" s="24">
        <v>0</v>
      </c>
      <c r="P88" s="24"/>
      <c r="Q88" s="24">
        <v>0</v>
      </c>
      <c r="R88" s="24"/>
      <c r="S88" s="24">
        <v>0</v>
      </c>
      <c r="T88" s="24"/>
      <c r="U88" s="24">
        <v>0</v>
      </c>
      <c r="V88" s="24"/>
      <c r="W88" s="24">
        <v>0</v>
      </c>
      <c r="X88" s="24"/>
      <c r="Y88" s="24">
        <f t="shared" si="2"/>
        <v>0</v>
      </c>
      <c r="Z88" s="24"/>
      <c r="AA88" s="24">
        <v>10971665</v>
      </c>
      <c r="AB88" s="24"/>
      <c r="AC88" s="24">
        <v>0</v>
      </c>
      <c r="AD88" s="24"/>
      <c r="AE88" s="24">
        <v>0</v>
      </c>
      <c r="AF88" s="25">
        <f>+'St of Net Assets - GA'!W88-'St of Activities - GA Exp'!AE88</f>
        <v>0</v>
      </c>
      <c r="AG88" s="25"/>
      <c r="AH88" s="39"/>
    </row>
    <row r="89" spans="1:33" ht="12.75" customHeight="1">
      <c r="A89" s="23" t="s">
        <v>75</v>
      </c>
      <c r="B89" s="24"/>
      <c r="C89" s="24">
        <v>23837754</v>
      </c>
      <c r="D89" s="24"/>
      <c r="E89" s="24">
        <v>12666649</v>
      </c>
      <c r="F89" s="24"/>
      <c r="G89" s="24">
        <v>19943327</v>
      </c>
      <c r="H89" s="24"/>
      <c r="I89" s="24">
        <v>11460064</v>
      </c>
      <c r="J89" s="24"/>
      <c r="K89" s="24">
        <v>40847051</v>
      </c>
      <c r="L89" s="24"/>
      <c r="M89" s="24">
        <v>44830389</v>
      </c>
      <c r="N89" s="24"/>
      <c r="O89" s="24">
        <v>225575</v>
      </c>
      <c r="P89" s="24"/>
      <c r="Q89" s="24">
        <v>0</v>
      </c>
      <c r="R89" s="24"/>
      <c r="S89" s="24">
        <v>0</v>
      </c>
      <c r="T89" s="24"/>
      <c r="U89" s="24">
        <v>0</v>
      </c>
      <c r="V89" s="24"/>
      <c r="W89" s="24">
        <v>1924255</v>
      </c>
      <c r="X89" s="24"/>
      <c r="Y89" s="24">
        <f t="shared" si="2"/>
        <v>155735064</v>
      </c>
      <c r="Z89" s="24"/>
      <c r="AA89" s="24">
        <v>10971665</v>
      </c>
      <c r="AB89" s="24"/>
      <c r="AC89" s="24">
        <v>177568255</v>
      </c>
      <c r="AD89" s="24"/>
      <c r="AE89" s="24">
        <f t="shared" si="4"/>
        <v>188539920</v>
      </c>
      <c r="AF89" s="25">
        <f>+'St of Net Assets - GA'!W89-'St of Activities - GA Exp'!AE89</f>
        <v>0</v>
      </c>
      <c r="AG89" s="28"/>
    </row>
    <row r="90" spans="1:33" ht="12.75" customHeight="1">
      <c r="A90" s="23" t="s">
        <v>76</v>
      </c>
      <c r="B90" s="24"/>
      <c r="C90" s="24">
        <f>6891140+1371485+406504</f>
        <v>8669129</v>
      </c>
      <c r="D90" s="24"/>
      <c r="E90" s="24">
        <f>4358347+26256</f>
        <v>4384603</v>
      </c>
      <c r="F90" s="24"/>
      <c r="G90" s="24">
        <f>7529975+1286483</f>
        <v>8816458</v>
      </c>
      <c r="H90" s="24"/>
      <c r="I90" s="24">
        <f>9533266+416829</f>
        <v>9950095</v>
      </c>
      <c r="J90" s="24"/>
      <c r="K90" s="24">
        <v>8256348</v>
      </c>
      <c r="L90" s="24"/>
      <c r="M90" s="24">
        <f>14008908+3065</f>
        <v>14011973</v>
      </c>
      <c r="N90" s="24"/>
      <c r="O90" s="24">
        <v>0</v>
      </c>
      <c r="P90" s="24"/>
      <c r="Q90" s="24">
        <v>373642</v>
      </c>
      <c r="R90" s="24"/>
      <c r="S90" s="24">
        <v>0</v>
      </c>
      <c r="T90" s="24"/>
      <c r="U90" s="24">
        <v>0</v>
      </c>
      <c r="V90" s="24"/>
      <c r="W90" s="24">
        <v>39401</v>
      </c>
      <c r="X90" s="24"/>
      <c r="Y90" s="24">
        <f t="shared" si="2"/>
        <v>54501649</v>
      </c>
      <c r="Z90" s="24"/>
      <c r="AA90" s="24">
        <v>667362</v>
      </c>
      <c r="AB90" s="24"/>
      <c r="AC90" s="24">
        <v>126434512</v>
      </c>
      <c r="AD90" s="24"/>
      <c r="AE90" s="24">
        <f t="shared" si="4"/>
        <v>127101874</v>
      </c>
      <c r="AF90" s="25">
        <f>+'St of Net Assets - GA'!W90-'St of Activities - GA Exp'!AE90</f>
        <v>0</v>
      </c>
      <c r="AG90" s="28"/>
    </row>
    <row r="91" spans="1:33" ht="12.75" customHeight="1">
      <c r="A91" s="23" t="s">
        <v>77</v>
      </c>
      <c r="B91" s="24"/>
      <c r="C91" s="24">
        <v>10817736</v>
      </c>
      <c r="D91" s="24"/>
      <c r="E91" s="24">
        <v>2851552</v>
      </c>
      <c r="F91" s="24"/>
      <c r="G91" s="24">
        <v>6923020</v>
      </c>
      <c r="H91" s="24"/>
      <c r="I91" s="24">
        <v>4644326</v>
      </c>
      <c r="J91" s="24"/>
      <c r="K91" s="24">
        <v>3297771</v>
      </c>
      <c r="L91" s="24"/>
      <c r="M91" s="24">
        <v>15210709</v>
      </c>
      <c r="N91" s="24"/>
      <c r="O91" s="24">
        <v>315537</v>
      </c>
      <c r="P91" s="24"/>
      <c r="Q91" s="24">
        <v>0</v>
      </c>
      <c r="R91" s="24"/>
      <c r="S91" s="24">
        <v>0</v>
      </c>
      <c r="T91" s="24"/>
      <c r="U91" s="24">
        <v>1433617</v>
      </c>
      <c r="V91" s="24"/>
      <c r="W91" s="24">
        <v>313006</v>
      </c>
      <c r="X91" s="24"/>
      <c r="Y91" s="24">
        <f t="shared" si="2"/>
        <v>45807274</v>
      </c>
      <c r="Z91" s="24"/>
      <c r="AA91" s="24">
        <v>5674002</v>
      </c>
      <c r="AB91" s="24"/>
      <c r="AC91" s="24">
        <v>93199738</v>
      </c>
      <c r="AD91" s="24"/>
      <c r="AE91" s="24">
        <f t="shared" si="4"/>
        <v>98873740</v>
      </c>
      <c r="AF91" s="25">
        <f>+'St of Net Assets - GA'!W91-'St of Activities - GA Exp'!AE91</f>
        <v>0</v>
      </c>
      <c r="AG91" s="28"/>
    </row>
    <row r="92" spans="1:33" ht="12.75" customHeight="1">
      <c r="A92" s="23" t="s">
        <v>78</v>
      </c>
      <c r="B92" s="24"/>
      <c r="C92" s="24">
        <v>4551450</v>
      </c>
      <c r="D92" s="24"/>
      <c r="E92" s="24">
        <v>1372115</v>
      </c>
      <c r="F92" s="24"/>
      <c r="G92" s="24">
        <v>2885954</v>
      </c>
      <c r="H92" s="24"/>
      <c r="I92" s="24">
        <v>4984863</v>
      </c>
      <c r="J92" s="24"/>
      <c r="K92" s="24">
        <v>108009</v>
      </c>
      <c r="L92" s="24"/>
      <c r="M92" s="24">
        <v>6261233</v>
      </c>
      <c r="N92" s="24"/>
      <c r="O92" s="24">
        <v>908944</v>
      </c>
      <c r="P92" s="24"/>
      <c r="Q92" s="24">
        <v>5193</v>
      </c>
      <c r="R92" s="24"/>
      <c r="S92" s="24">
        <v>0</v>
      </c>
      <c r="T92" s="24"/>
      <c r="U92" s="24">
        <v>195886</v>
      </c>
      <c r="V92" s="24"/>
      <c r="W92" s="24">
        <v>259218</v>
      </c>
      <c r="X92" s="24"/>
      <c r="Y92" s="24">
        <f t="shared" si="2"/>
        <v>21532865</v>
      </c>
      <c r="Z92" s="24"/>
      <c r="AA92" s="24">
        <v>1239483</v>
      </c>
      <c r="AB92" s="24"/>
      <c r="AC92" s="24">
        <v>30027696</v>
      </c>
      <c r="AD92" s="24"/>
      <c r="AE92" s="24">
        <f t="shared" si="4"/>
        <v>31267179</v>
      </c>
      <c r="AF92" s="25">
        <f>+'St of Net Assets - GA'!W92-'St of Activities - GA Exp'!AE92</f>
        <v>0</v>
      </c>
      <c r="AG92" s="28"/>
    </row>
    <row r="93" spans="1:33" ht="12.75" customHeight="1" hidden="1">
      <c r="A93" s="23" t="s">
        <v>79</v>
      </c>
      <c r="B93" s="24"/>
      <c r="C93" s="24">
        <v>0</v>
      </c>
      <c r="D93" s="24"/>
      <c r="E93" s="24">
        <v>0</v>
      </c>
      <c r="F93" s="24"/>
      <c r="G93" s="24">
        <v>0</v>
      </c>
      <c r="H93" s="24"/>
      <c r="I93" s="24">
        <v>0</v>
      </c>
      <c r="J93" s="24"/>
      <c r="K93" s="24">
        <v>0</v>
      </c>
      <c r="L93" s="24"/>
      <c r="M93" s="24">
        <v>0</v>
      </c>
      <c r="N93" s="24"/>
      <c r="O93" s="24">
        <v>0</v>
      </c>
      <c r="P93" s="24"/>
      <c r="Q93" s="24">
        <v>0</v>
      </c>
      <c r="R93" s="24"/>
      <c r="S93" s="24">
        <v>0</v>
      </c>
      <c r="T93" s="24"/>
      <c r="U93" s="24">
        <v>0</v>
      </c>
      <c r="V93" s="24"/>
      <c r="W93" s="24">
        <v>0</v>
      </c>
      <c r="X93" s="24"/>
      <c r="Y93" s="24">
        <f t="shared" si="2"/>
        <v>0</v>
      </c>
      <c r="Z93" s="24"/>
      <c r="AA93" s="24">
        <v>0</v>
      </c>
      <c r="AB93" s="24"/>
      <c r="AC93" s="24">
        <v>0</v>
      </c>
      <c r="AD93" s="24"/>
      <c r="AE93" s="24">
        <f t="shared" si="4"/>
        <v>0</v>
      </c>
      <c r="AF93" s="25">
        <f>+'St of Net Assets - GA'!W93-'St of Activities - GA Exp'!AE93</f>
        <v>0</v>
      </c>
      <c r="AG93" s="28"/>
    </row>
    <row r="94" spans="1:33" ht="12.75" customHeight="1">
      <c r="A94" s="23" t="s">
        <v>80</v>
      </c>
      <c r="B94" s="24"/>
      <c r="C94" s="24">
        <v>20967013</v>
      </c>
      <c r="D94" s="24"/>
      <c r="E94" s="24">
        <v>12180744</v>
      </c>
      <c r="F94" s="24"/>
      <c r="G94" s="24">
        <v>27337486</v>
      </c>
      <c r="H94" s="24"/>
      <c r="I94" s="24">
        <v>8448937</v>
      </c>
      <c r="J94" s="24"/>
      <c r="K94" s="24">
        <v>690070</v>
      </c>
      <c r="L94" s="24"/>
      <c r="M94" s="24">
        <v>43436111</v>
      </c>
      <c r="N94" s="24"/>
      <c r="O94" s="24">
        <v>1959237</v>
      </c>
      <c r="P94" s="24"/>
      <c r="Q94" s="24">
        <v>0</v>
      </c>
      <c r="R94" s="24"/>
      <c r="S94" s="24">
        <v>0</v>
      </c>
      <c r="T94" s="24"/>
      <c r="U94" s="24">
        <v>0</v>
      </c>
      <c r="V94" s="24"/>
      <c r="W94" s="24">
        <v>1339714</v>
      </c>
      <c r="X94" s="24"/>
      <c r="Y94" s="24">
        <f aca="true" t="shared" si="7" ref="Y94:Y99">SUM(C94:W94)</f>
        <v>116359312</v>
      </c>
      <c r="Z94" s="24"/>
      <c r="AA94" s="24">
        <v>4337338</v>
      </c>
      <c r="AB94" s="24"/>
      <c r="AC94" s="24">
        <v>209412179</v>
      </c>
      <c r="AD94" s="24"/>
      <c r="AE94" s="24">
        <f t="shared" si="4"/>
        <v>213749517</v>
      </c>
      <c r="AF94" s="25">
        <f>+'St of Net Assets - GA'!W94-'St of Activities - GA Exp'!AE94</f>
        <v>0</v>
      </c>
      <c r="AG94" s="28"/>
    </row>
    <row r="95" spans="1:33" ht="12.75" customHeight="1">
      <c r="A95" s="23" t="s">
        <v>81</v>
      </c>
      <c r="B95" s="24"/>
      <c r="C95" s="24">
        <v>5660377</v>
      </c>
      <c r="D95" s="24"/>
      <c r="E95" s="24">
        <v>2095250</v>
      </c>
      <c r="F95" s="24"/>
      <c r="G95" s="24">
        <v>8557181</v>
      </c>
      <c r="H95" s="24"/>
      <c r="I95" s="24">
        <v>5701350</v>
      </c>
      <c r="J95" s="24"/>
      <c r="K95" s="24">
        <f>5078388+7760724+2586814+276622</f>
        <v>15702548</v>
      </c>
      <c r="L95" s="24"/>
      <c r="M95" s="24">
        <f>888165+2541083+5206164+1749949</f>
        <v>10385361</v>
      </c>
      <c r="N95" s="24"/>
      <c r="O95" s="24">
        <v>590777</v>
      </c>
      <c r="P95" s="24"/>
      <c r="Q95" s="24">
        <v>0</v>
      </c>
      <c r="R95" s="24"/>
      <c r="S95" s="24">
        <v>0</v>
      </c>
      <c r="T95" s="24"/>
      <c r="U95" s="24">
        <v>649353</v>
      </c>
      <c r="V95" s="24"/>
      <c r="W95" s="24">
        <v>250360</v>
      </c>
      <c r="X95" s="24"/>
      <c r="Y95" s="24">
        <f t="shared" si="7"/>
        <v>49592557</v>
      </c>
      <c r="Z95" s="24"/>
      <c r="AA95" s="24">
        <v>4833130</v>
      </c>
      <c r="AB95" s="24"/>
      <c r="AC95" s="24">
        <v>166492693</v>
      </c>
      <c r="AD95" s="24"/>
      <c r="AE95" s="24">
        <f t="shared" si="4"/>
        <v>171325823</v>
      </c>
      <c r="AF95" s="25">
        <f>+'St of Net Assets - GA'!W95-'St of Activities - GA Exp'!AE95</f>
        <v>0</v>
      </c>
      <c r="AG95" s="28"/>
    </row>
    <row r="96" spans="1:33" ht="12.75" customHeight="1">
      <c r="A96" s="23" t="s">
        <v>82</v>
      </c>
      <c r="B96" s="24"/>
      <c r="C96" s="24">
        <v>7826914</v>
      </c>
      <c r="D96" s="24"/>
      <c r="E96" s="24">
        <v>5466859</v>
      </c>
      <c r="F96" s="24"/>
      <c r="G96" s="24">
        <v>10383256</v>
      </c>
      <c r="H96" s="24"/>
      <c r="I96" s="24">
        <v>9775297</v>
      </c>
      <c r="J96" s="24"/>
      <c r="K96" s="24">
        <v>481906</v>
      </c>
      <c r="L96" s="24"/>
      <c r="M96" s="24">
        <v>32232617</v>
      </c>
      <c r="N96" s="24"/>
      <c r="O96" s="24">
        <v>590225</v>
      </c>
      <c r="P96" s="24"/>
      <c r="Q96" s="24">
        <v>527294</v>
      </c>
      <c r="R96" s="24"/>
      <c r="S96" s="24">
        <v>0</v>
      </c>
      <c r="T96" s="24"/>
      <c r="U96" s="24">
        <v>0</v>
      </c>
      <c r="V96" s="24"/>
      <c r="W96" s="24">
        <v>433965</v>
      </c>
      <c r="X96" s="24"/>
      <c r="Y96" s="24">
        <f t="shared" si="7"/>
        <v>67718333</v>
      </c>
      <c r="Z96" s="24"/>
      <c r="AA96" s="24">
        <v>993652</v>
      </c>
      <c r="AB96" s="24"/>
      <c r="AC96" s="24">
        <v>118814450</v>
      </c>
      <c r="AD96" s="24"/>
      <c r="AE96" s="24">
        <f>+AC96+AA96</f>
        <v>119808102</v>
      </c>
      <c r="AF96" s="25">
        <f>+'St of Net Assets - GA'!W96-'St of Activities - GA Exp'!AE96</f>
        <v>0</v>
      </c>
      <c r="AG96" s="28"/>
    </row>
    <row r="97" spans="1:33" ht="12.75" customHeight="1" hidden="1">
      <c r="A97" s="23" t="s">
        <v>174</v>
      </c>
      <c r="B97" s="24"/>
      <c r="C97" s="24">
        <v>0</v>
      </c>
      <c r="D97" s="24"/>
      <c r="E97" s="24">
        <v>0</v>
      </c>
      <c r="F97" s="24"/>
      <c r="G97" s="24">
        <v>0</v>
      </c>
      <c r="H97" s="24"/>
      <c r="I97" s="24">
        <v>0</v>
      </c>
      <c r="J97" s="24"/>
      <c r="K97" s="24">
        <v>0</v>
      </c>
      <c r="L97" s="24"/>
      <c r="M97" s="24">
        <v>0</v>
      </c>
      <c r="N97" s="24"/>
      <c r="O97" s="24">
        <v>0</v>
      </c>
      <c r="P97" s="24"/>
      <c r="Q97" s="24">
        <v>0</v>
      </c>
      <c r="R97" s="24"/>
      <c r="S97" s="24">
        <v>0</v>
      </c>
      <c r="T97" s="24"/>
      <c r="U97" s="24">
        <v>0</v>
      </c>
      <c r="V97" s="24"/>
      <c r="W97" s="24">
        <v>0</v>
      </c>
      <c r="X97" s="24"/>
      <c r="Y97" s="24">
        <f t="shared" si="7"/>
        <v>0</v>
      </c>
      <c r="Z97" s="24"/>
      <c r="AA97" s="24">
        <v>0</v>
      </c>
      <c r="AB97" s="24"/>
      <c r="AC97" s="24">
        <v>0</v>
      </c>
      <c r="AD97" s="24"/>
      <c r="AE97" s="24">
        <f t="shared" si="4"/>
        <v>0</v>
      </c>
      <c r="AF97" s="25">
        <f>+'St of Net Assets - GA'!W97-'St of Activities - GA Exp'!AE97</f>
        <v>0</v>
      </c>
      <c r="AG97" s="28"/>
    </row>
    <row r="98" spans="1:33" ht="12.75" customHeight="1">
      <c r="A98" s="23" t="s">
        <v>83</v>
      </c>
      <c r="B98" s="24"/>
      <c r="C98" s="24">
        <v>19669072</v>
      </c>
      <c r="D98" s="24"/>
      <c r="E98" s="24">
        <v>8849847</v>
      </c>
      <c r="F98" s="24"/>
      <c r="G98" s="24">
        <v>8549690</v>
      </c>
      <c r="H98" s="24"/>
      <c r="I98" s="24">
        <v>9285390</v>
      </c>
      <c r="J98" s="24"/>
      <c r="K98" s="24">
        <f>12848899+636379</f>
        <v>13485278</v>
      </c>
      <c r="L98" s="24"/>
      <c r="M98" s="24">
        <f>9549928+2112490+28699379+2849210</f>
        <v>43211007</v>
      </c>
      <c r="N98" s="24"/>
      <c r="O98" s="24">
        <v>1076951</v>
      </c>
      <c r="P98" s="24"/>
      <c r="Q98" s="24">
        <v>471532</v>
      </c>
      <c r="R98" s="24"/>
      <c r="S98" s="24">
        <f>1760266</f>
        <v>1760266</v>
      </c>
      <c r="T98" s="24"/>
      <c r="U98" s="24">
        <f>399154</f>
        <v>399154</v>
      </c>
      <c r="V98" s="24"/>
      <c r="W98" s="24">
        <v>425681</v>
      </c>
      <c r="X98" s="24"/>
      <c r="Y98" s="24">
        <f t="shared" si="7"/>
        <v>107183868</v>
      </c>
      <c r="Z98" s="24"/>
      <c r="AA98" s="24">
        <v>1334953</v>
      </c>
      <c r="AB98" s="24"/>
      <c r="AC98" s="24">
        <v>167944998</v>
      </c>
      <c r="AD98" s="24"/>
      <c r="AE98" s="24">
        <f t="shared" si="4"/>
        <v>169279951</v>
      </c>
      <c r="AF98" s="25">
        <f>+'St of Net Assets - GA'!W98-'St of Activities - GA Exp'!AE98</f>
        <v>0</v>
      </c>
      <c r="AG98" s="28"/>
    </row>
    <row r="99" spans="1:33" ht="12.75" customHeight="1" hidden="1">
      <c r="A99" s="23" t="s">
        <v>175</v>
      </c>
      <c r="B99" s="24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>
        <v>0</v>
      </c>
      <c r="V99" s="24"/>
      <c r="W99" s="24">
        <v>0</v>
      </c>
      <c r="X99" s="24"/>
      <c r="Y99" s="24">
        <f t="shared" si="7"/>
        <v>0</v>
      </c>
      <c r="Z99" s="24"/>
      <c r="AA99" s="24">
        <v>0</v>
      </c>
      <c r="AB99" s="24"/>
      <c r="AC99" s="24">
        <v>0</v>
      </c>
      <c r="AD99" s="24"/>
      <c r="AE99" s="24">
        <f>+AC99+AA99</f>
        <v>0</v>
      </c>
      <c r="AF99" s="25">
        <f>+'St of Net Assets - GA'!W99-'St of Activities - GA Exp'!AE99</f>
        <v>0</v>
      </c>
      <c r="AG99" s="28"/>
    </row>
    <row r="100" spans="1:33" ht="12.7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8"/>
    </row>
    <row r="101" spans="1:33" ht="12.7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8"/>
    </row>
    <row r="102" spans="1:33" ht="12.75" customHeight="1">
      <c r="A102" s="3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8"/>
    </row>
    <row r="103" spans="1:33" ht="12.75" customHeight="1">
      <c r="A103" s="3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8"/>
    </row>
    <row r="104" spans="2:33" ht="12.7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8"/>
    </row>
    <row r="105" spans="2:32" ht="12.7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96"/>
      <c r="Z105" s="39"/>
      <c r="AA105" s="39"/>
      <c r="AB105" s="39"/>
      <c r="AC105" s="39"/>
      <c r="AD105" s="39"/>
      <c r="AE105" s="96"/>
      <c r="AF105" s="25"/>
    </row>
    <row r="106" spans="2:31" ht="12.7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96"/>
      <c r="Z106" s="39"/>
      <c r="AA106" s="39"/>
      <c r="AB106" s="39"/>
      <c r="AC106" s="39"/>
      <c r="AD106" s="39"/>
      <c r="AE106" s="96"/>
    </row>
    <row r="107" spans="2:31" ht="12.7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96"/>
      <c r="Z107" s="39"/>
      <c r="AA107" s="39"/>
      <c r="AB107" s="39"/>
      <c r="AC107" s="39"/>
      <c r="AD107" s="39"/>
      <c r="AE107" s="96"/>
    </row>
    <row r="108" spans="2:31" ht="12.7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96"/>
      <c r="Z108" s="39"/>
      <c r="AA108" s="39"/>
      <c r="AB108" s="39"/>
      <c r="AC108" s="39"/>
      <c r="AD108" s="39"/>
      <c r="AE108" s="96"/>
    </row>
    <row r="109" spans="2:31" ht="12.7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96"/>
      <c r="Z109" s="39"/>
      <c r="AA109" s="39"/>
      <c r="AB109" s="39"/>
      <c r="AC109" s="39"/>
      <c r="AD109" s="39"/>
      <c r="AE109" s="96"/>
    </row>
    <row r="110" spans="2:31" ht="12.7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96"/>
      <c r="Z110" s="39"/>
      <c r="AA110" s="39"/>
      <c r="AB110" s="39"/>
      <c r="AC110" s="39"/>
      <c r="AD110" s="39"/>
      <c r="AE110" s="96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</sheetData>
  <sheetProtection/>
  <printOptions/>
  <pageMargins left="0.75" right="0.75" top="0.5" bottom="0.5" header="0" footer="0.3"/>
  <pageSetup firstPageNumber="12" useFirstPageNumber="1" horizontalDpi="600" verticalDpi="600" orientation="portrait" pageOrder="overThenDown" scale="91" r:id="rId1"/>
  <headerFooter scaleWithDoc="0" alignWithMargins="0">
    <oddFooter>&amp;C&amp;"Times New Roman,Regular"&amp;11&amp;P</oddFooter>
  </headerFooter>
  <rowBreaks count="1" manualBreakCount="1">
    <brk id="80" max="24" man="1"/>
  </rowBreaks>
  <colBreaks count="1" manualBreakCount="1">
    <brk id="14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01"/>
  <sheetViews>
    <sheetView zoomScale="120" zoomScaleNormal="12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L89" sqref="L89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2.7109375" style="25" customWidth="1"/>
    <col min="4" max="4" width="1.7109375" style="25" customWidth="1"/>
    <col min="5" max="5" width="12.7109375" style="25" customWidth="1"/>
    <col min="6" max="6" width="1.7109375" style="25" customWidth="1"/>
    <col min="7" max="7" width="12.7109375" style="25" customWidth="1"/>
    <col min="8" max="8" width="1.7109375" style="25" customWidth="1"/>
    <col min="9" max="9" width="12.7109375" style="25" customWidth="1"/>
    <col min="10" max="10" width="1.7109375" style="25" customWidth="1"/>
    <col min="11" max="11" width="12.7109375" style="25" customWidth="1"/>
    <col min="12" max="12" width="1.7109375" style="25" customWidth="1"/>
    <col min="13" max="13" width="12.7109375" style="25" customWidth="1"/>
    <col min="14" max="14" width="1.7109375" style="25" customWidth="1"/>
    <col min="15" max="15" width="12.7109375" style="25" customWidth="1"/>
    <col min="16" max="16" width="9.28125" style="26" bestFit="1" customWidth="1"/>
    <col min="17" max="17" width="12.7109375" style="97" customWidth="1"/>
    <col min="18" max="16384" width="9.140625" style="26" customWidth="1"/>
  </cols>
  <sheetData>
    <row r="1" spans="1:16" ht="12.75" customHeight="1">
      <c r="A1" s="57" t="s">
        <v>199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</row>
    <row r="2" spans="1:16" ht="12.75" customHeight="1">
      <c r="A2" s="57" t="s">
        <v>256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2.75" customHeight="1">
      <c r="A3" s="49" t="s">
        <v>249</v>
      </c>
      <c r="B3" s="5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9"/>
    </row>
    <row r="4" spans="1:16" ht="12.75" customHeight="1">
      <c r="A4" s="49" t="s">
        <v>184</v>
      </c>
      <c r="B4" s="19"/>
      <c r="C4" s="21"/>
      <c r="D4" s="21"/>
      <c r="E4" s="21"/>
      <c r="F4" s="21"/>
      <c r="G4" s="21"/>
      <c r="H4" s="21"/>
      <c r="I4" s="21"/>
      <c r="J4" s="21"/>
      <c r="P4" s="36"/>
    </row>
    <row r="5" spans="1:16" ht="12.75" customHeight="1">
      <c r="A5" s="49"/>
      <c r="B5" s="19"/>
      <c r="C5" s="21"/>
      <c r="D5" s="21"/>
      <c r="E5" s="21"/>
      <c r="F5" s="21"/>
      <c r="G5" s="21"/>
      <c r="H5" s="21"/>
      <c r="I5" s="21"/>
      <c r="J5" s="21"/>
      <c r="P5" s="36"/>
    </row>
    <row r="6" spans="1:16" ht="12.75" customHeight="1">
      <c r="A6" s="49"/>
      <c r="B6" s="19"/>
      <c r="C6" s="21"/>
      <c r="D6" s="21"/>
      <c r="E6" s="21"/>
      <c r="F6" s="21"/>
      <c r="G6" s="21"/>
      <c r="H6" s="21"/>
      <c r="I6" s="21"/>
      <c r="J6" s="21"/>
      <c r="K6" s="21" t="s">
        <v>117</v>
      </c>
      <c r="L6" s="21"/>
      <c r="M6" s="21" t="s">
        <v>235</v>
      </c>
      <c r="N6" s="21"/>
      <c r="O6" s="21" t="s">
        <v>4</v>
      </c>
      <c r="P6" s="36"/>
    </row>
    <row r="7" spans="1:16" ht="12.75" customHeight="1">
      <c r="A7" s="19"/>
      <c r="B7" s="19"/>
      <c r="C7" s="21" t="s">
        <v>118</v>
      </c>
      <c r="D7" s="21"/>
      <c r="E7" s="21" t="s">
        <v>4</v>
      </c>
      <c r="F7" s="21"/>
      <c r="G7" s="21" t="s">
        <v>119</v>
      </c>
      <c r="H7" s="21"/>
      <c r="I7" s="21" t="s">
        <v>4</v>
      </c>
      <c r="J7" s="21"/>
      <c r="K7" s="21" t="s">
        <v>120</v>
      </c>
      <c r="L7" s="21"/>
      <c r="M7" s="21" t="s">
        <v>120</v>
      </c>
      <c r="N7" s="21"/>
      <c r="O7" s="21" t="s">
        <v>120</v>
      </c>
      <c r="P7" s="36"/>
    </row>
    <row r="8" spans="1:17" s="60" customFormat="1" ht="12.75" customHeight="1">
      <c r="A8" s="22" t="s">
        <v>5</v>
      </c>
      <c r="B8" s="19"/>
      <c r="C8" s="20" t="s">
        <v>121</v>
      </c>
      <c r="D8" s="21"/>
      <c r="E8" s="20" t="s">
        <v>116</v>
      </c>
      <c r="F8" s="21"/>
      <c r="G8" s="20" t="s">
        <v>11</v>
      </c>
      <c r="H8" s="21"/>
      <c r="I8" s="20" t="s">
        <v>122</v>
      </c>
      <c r="J8" s="21"/>
      <c r="K8" s="20" t="s">
        <v>123</v>
      </c>
      <c r="L8" s="21"/>
      <c r="M8" s="20" t="s">
        <v>123</v>
      </c>
      <c r="N8" s="21"/>
      <c r="O8" s="20" t="s">
        <v>123</v>
      </c>
      <c r="P8" s="36"/>
      <c r="Q8" s="28" t="s">
        <v>206</v>
      </c>
    </row>
    <row r="9" spans="1:16" ht="12.75" customHeight="1">
      <c r="A9" s="1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17" ht="12.75" customHeight="1" hidden="1">
      <c r="A10" s="89" t="s">
        <v>237</v>
      </c>
      <c r="B10" s="19"/>
      <c r="C10" s="61">
        <v>968511</v>
      </c>
      <c r="D10" s="61"/>
      <c r="E10" s="61">
        <v>968511</v>
      </c>
      <c r="F10" s="61"/>
      <c r="G10" s="61">
        <v>0</v>
      </c>
      <c r="H10" s="61"/>
      <c r="I10" s="61">
        <v>0</v>
      </c>
      <c r="J10" s="61"/>
      <c r="K10" s="61">
        <v>143594</v>
      </c>
      <c r="L10" s="61"/>
      <c r="M10" s="61">
        <v>824917</v>
      </c>
      <c r="N10" s="61"/>
      <c r="O10" s="61">
        <f>+M10+K10</f>
        <v>968511</v>
      </c>
      <c r="P10" s="40"/>
      <c r="Q10" s="96">
        <f>+E10-I10-O10</f>
        <v>0</v>
      </c>
    </row>
    <row r="11" spans="1:17" ht="12.75" customHeight="1">
      <c r="A11" s="23" t="s">
        <v>13</v>
      </c>
      <c r="B11" s="23"/>
      <c r="C11" s="61">
        <f>5691710+4701</f>
        <v>5696411</v>
      </c>
      <c r="D11" s="61"/>
      <c r="E11" s="61">
        <v>13234315</v>
      </c>
      <c r="F11" s="61"/>
      <c r="G11" s="61">
        <v>5581804</v>
      </c>
      <c r="H11" s="61"/>
      <c r="I11" s="61">
        <v>7199570</v>
      </c>
      <c r="J11" s="61"/>
      <c r="K11" s="61">
        <f>129771+244706+1266980</f>
        <v>1641457</v>
      </c>
      <c r="L11" s="61"/>
      <c r="M11" s="61">
        <f>4393288</f>
        <v>4393288</v>
      </c>
      <c r="N11" s="61"/>
      <c r="O11" s="61">
        <f>+M11+K11</f>
        <v>6034745</v>
      </c>
      <c r="P11" s="40"/>
      <c r="Q11" s="96">
        <f>+E11-I11-O11</f>
        <v>0</v>
      </c>
    </row>
    <row r="12" spans="1:17" ht="12.75" customHeight="1">
      <c r="A12" s="23" t="s">
        <v>14</v>
      </c>
      <c r="B12" s="23"/>
      <c r="C12" s="40">
        <f>1747193+620</f>
        <v>1747813</v>
      </c>
      <c r="D12" s="40"/>
      <c r="E12" s="40">
        <v>6545686</v>
      </c>
      <c r="F12" s="40"/>
      <c r="G12" s="40">
        <v>4037476</v>
      </c>
      <c r="H12" s="40"/>
      <c r="I12" s="40">
        <v>4351576</v>
      </c>
      <c r="J12" s="40"/>
      <c r="K12" s="40">
        <f>102928+63621+2055+154546</f>
        <v>323150</v>
      </c>
      <c r="L12" s="40"/>
      <c r="M12" s="40">
        <v>1870960</v>
      </c>
      <c r="N12" s="40"/>
      <c r="O12" s="40">
        <f aca="true" t="shared" si="0" ref="O12:O28">+M12+K12</f>
        <v>2194110</v>
      </c>
      <c r="P12" s="40"/>
      <c r="Q12" s="96">
        <f aca="true" t="shared" si="1" ref="Q12:Q28">+E12-I12-O12</f>
        <v>0</v>
      </c>
    </row>
    <row r="13" spans="1:17" ht="12.75" customHeight="1">
      <c r="A13" s="23" t="s">
        <v>15</v>
      </c>
      <c r="B13" s="23"/>
      <c r="C13" s="40">
        <f>3699795+10391</f>
        <v>3710186</v>
      </c>
      <c r="D13" s="40"/>
      <c r="E13" s="40">
        <v>9784117</v>
      </c>
      <c r="F13" s="40"/>
      <c r="G13" s="40">
        <v>4835444</v>
      </c>
      <c r="H13" s="40"/>
      <c r="I13" s="40">
        <v>5623223</v>
      </c>
      <c r="J13" s="40"/>
      <c r="K13" s="40">
        <f>157541+90000</f>
        <v>247541</v>
      </c>
      <c r="L13" s="40"/>
      <c r="M13" s="40">
        <v>3913353</v>
      </c>
      <c r="N13" s="40"/>
      <c r="O13" s="40">
        <f t="shared" si="0"/>
        <v>4160894</v>
      </c>
      <c r="P13" s="40"/>
      <c r="Q13" s="96">
        <f t="shared" si="1"/>
        <v>0</v>
      </c>
    </row>
    <row r="14" spans="1:17" ht="12.75" customHeight="1">
      <c r="A14" s="23" t="s">
        <v>16</v>
      </c>
      <c r="B14" s="23"/>
      <c r="C14" s="40">
        <f>1252732+36035</f>
        <v>1288767</v>
      </c>
      <c r="D14" s="40"/>
      <c r="E14" s="40">
        <v>5215173</v>
      </c>
      <c r="F14" s="40"/>
      <c r="G14" s="40">
        <v>2304405</v>
      </c>
      <c r="H14" s="40"/>
      <c r="I14" s="40">
        <v>2951520</v>
      </c>
      <c r="J14" s="40"/>
      <c r="K14" s="40">
        <v>3529</v>
      </c>
      <c r="L14" s="40"/>
      <c r="M14" s="40">
        <v>2260124</v>
      </c>
      <c r="N14" s="40"/>
      <c r="O14" s="40">
        <f t="shared" si="0"/>
        <v>2263653</v>
      </c>
      <c r="P14" s="40"/>
      <c r="Q14" s="96">
        <f t="shared" si="1"/>
        <v>0</v>
      </c>
    </row>
    <row r="15" spans="1:17" ht="12.75" customHeight="1">
      <c r="A15" s="23" t="s">
        <v>17</v>
      </c>
      <c r="B15" s="23"/>
      <c r="C15" s="40">
        <v>3007171</v>
      </c>
      <c r="D15" s="40"/>
      <c r="E15" s="40">
        <v>10401152</v>
      </c>
      <c r="F15" s="40"/>
      <c r="G15" s="40">
        <v>2630497</v>
      </c>
      <c r="H15" s="40"/>
      <c r="I15" s="40">
        <v>3227953</v>
      </c>
      <c r="J15" s="40"/>
      <c r="K15" s="40">
        <f>59980+2695269</f>
        <v>2755249</v>
      </c>
      <c r="L15" s="40"/>
      <c r="M15" s="40">
        <v>4417950</v>
      </c>
      <c r="N15" s="40"/>
      <c r="O15" s="40">
        <f t="shared" si="0"/>
        <v>7173199</v>
      </c>
      <c r="P15" s="40"/>
      <c r="Q15" s="96">
        <f t="shared" si="1"/>
        <v>0</v>
      </c>
    </row>
    <row r="16" spans="1:17" ht="12.75" customHeight="1">
      <c r="A16" s="23" t="s">
        <v>18</v>
      </c>
      <c r="B16" s="23"/>
      <c r="C16" s="40">
        <f>2670682+34308</f>
        <v>2704990</v>
      </c>
      <c r="D16" s="40"/>
      <c r="E16" s="40">
        <v>10814430</v>
      </c>
      <c r="F16" s="40"/>
      <c r="G16" s="40">
        <v>4043645</v>
      </c>
      <c r="H16" s="40"/>
      <c r="I16" s="40">
        <v>5008904</v>
      </c>
      <c r="J16" s="40"/>
      <c r="K16" s="40">
        <f>1593605+1073732+59301</f>
        <v>2726638</v>
      </c>
      <c r="L16" s="40"/>
      <c r="M16" s="40">
        <f>183309+2895579</f>
        <v>3078888</v>
      </c>
      <c r="N16" s="40"/>
      <c r="O16" s="40">
        <f t="shared" si="0"/>
        <v>5805526</v>
      </c>
      <c r="P16" s="40"/>
      <c r="Q16" s="96">
        <f t="shared" si="1"/>
        <v>0</v>
      </c>
    </row>
    <row r="17" spans="1:17" ht="12.75" customHeight="1" hidden="1">
      <c r="A17" s="23" t="s">
        <v>240</v>
      </c>
      <c r="B17" s="23"/>
      <c r="C17" s="40">
        <v>0</v>
      </c>
      <c r="D17" s="40"/>
      <c r="E17" s="40">
        <v>0</v>
      </c>
      <c r="F17" s="40"/>
      <c r="G17" s="40">
        <v>0</v>
      </c>
      <c r="H17" s="40"/>
      <c r="I17" s="40">
        <v>0</v>
      </c>
      <c r="J17" s="40"/>
      <c r="K17" s="40">
        <v>0</v>
      </c>
      <c r="L17" s="40"/>
      <c r="M17" s="40">
        <v>0</v>
      </c>
      <c r="N17" s="40"/>
      <c r="O17" s="40">
        <f t="shared" si="0"/>
        <v>0</v>
      </c>
      <c r="P17" s="40"/>
      <c r="Q17" s="96">
        <f t="shared" si="1"/>
        <v>0</v>
      </c>
    </row>
    <row r="18" spans="1:17" ht="12.75" customHeight="1" hidden="1">
      <c r="A18" s="23" t="s">
        <v>248</v>
      </c>
      <c r="B18" s="23"/>
      <c r="C18" s="40">
        <v>0</v>
      </c>
      <c r="D18" s="40"/>
      <c r="E18" s="40">
        <v>0</v>
      </c>
      <c r="F18" s="40"/>
      <c r="G18" s="40">
        <v>0</v>
      </c>
      <c r="H18" s="40"/>
      <c r="I18" s="40">
        <v>0</v>
      </c>
      <c r="J18" s="40"/>
      <c r="K18" s="40">
        <v>0</v>
      </c>
      <c r="L18" s="40"/>
      <c r="M18" s="40">
        <v>0</v>
      </c>
      <c r="N18" s="40"/>
      <c r="O18" s="40">
        <f t="shared" si="0"/>
        <v>0</v>
      </c>
      <c r="P18" s="40"/>
      <c r="Q18" s="96">
        <f t="shared" si="1"/>
        <v>0</v>
      </c>
    </row>
    <row r="19" spans="1:17" ht="12.75" customHeight="1">
      <c r="A19" s="23" t="s">
        <v>20</v>
      </c>
      <c r="B19" s="23"/>
      <c r="C19" s="40">
        <f>215143+99617</f>
        <v>314760</v>
      </c>
      <c r="D19" s="40"/>
      <c r="E19" s="40">
        <v>3173631</v>
      </c>
      <c r="F19" s="40"/>
      <c r="G19" s="40">
        <f>339752+1650000</f>
        <v>1989752</v>
      </c>
      <c r="H19" s="40"/>
      <c r="I19" s="40">
        <v>2229183</v>
      </c>
      <c r="J19" s="40"/>
      <c r="K19" s="40">
        <f>13380+89666+17764</f>
        <v>120810</v>
      </c>
      <c r="L19" s="40"/>
      <c r="M19" s="40">
        <v>823638</v>
      </c>
      <c r="N19" s="40"/>
      <c r="O19" s="40">
        <f t="shared" si="0"/>
        <v>944448</v>
      </c>
      <c r="P19" s="40"/>
      <c r="Q19" s="96">
        <f t="shared" si="1"/>
        <v>0</v>
      </c>
    </row>
    <row r="20" spans="1:17" ht="12.75" customHeight="1" hidden="1">
      <c r="A20" s="23" t="s">
        <v>172</v>
      </c>
      <c r="B20" s="23"/>
      <c r="C20" s="40">
        <v>0</v>
      </c>
      <c r="D20" s="40"/>
      <c r="E20" s="40">
        <v>0</v>
      </c>
      <c r="F20" s="40"/>
      <c r="G20" s="40">
        <v>0</v>
      </c>
      <c r="H20" s="40"/>
      <c r="I20" s="40">
        <v>0</v>
      </c>
      <c r="J20" s="40"/>
      <c r="K20" s="40">
        <v>0</v>
      </c>
      <c r="L20" s="40"/>
      <c r="M20" s="40">
        <v>0</v>
      </c>
      <c r="N20" s="40"/>
      <c r="O20" s="40">
        <f t="shared" si="0"/>
        <v>0</v>
      </c>
      <c r="P20" s="40"/>
      <c r="Q20" s="96">
        <f t="shared" si="1"/>
        <v>0</v>
      </c>
    </row>
    <row r="21" spans="1:17" ht="12.75" customHeight="1">
      <c r="A21" s="23" t="s">
        <v>21</v>
      </c>
      <c r="B21" s="23"/>
      <c r="C21" s="40">
        <v>6257127</v>
      </c>
      <c r="D21" s="40"/>
      <c r="E21" s="40">
        <v>15944509</v>
      </c>
      <c r="F21" s="40"/>
      <c r="G21" s="40">
        <v>5504758</v>
      </c>
      <c r="H21" s="40"/>
      <c r="I21" s="40">
        <v>6920362</v>
      </c>
      <c r="J21" s="40"/>
      <c r="K21" s="40">
        <f>1329784+89373+175946</f>
        <v>1595103</v>
      </c>
      <c r="L21" s="40"/>
      <c r="M21" s="40">
        <v>7429044</v>
      </c>
      <c r="N21" s="40"/>
      <c r="O21" s="40">
        <f t="shared" si="0"/>
        <v>9024147</v>
      </c>
      <c r="P21" s="40"/>
      <c r="Q21" s="96">
        <f t="shared" si="1"/>
        <v>0</v>
      </c>
    </row>
    <row r="22" spans="1:17" ht="12.75" customHeight="1">
      <c r="A22" s="23" t="s">
        <v>181</v>
      </c>
      <c r="B22" s="23"/>
      <c r="C22" s="40">
        <v>13610154</v>
      </c>
      <c r="D22" s="40"/>
      <c r="E22" s="40">
        <v>39068421</v>
      </c>
      <c r="F22" s="40"/>
      <c r="G22" s="40">
        <v>21068988</v>
      </c>
      <c r="H22" s="40"/>
      <c r="I22" s="40">
        <v>22856345</v>
      </c>
      <c r="J22" s="40"/>
      <c r="K22" s="40">
        <f>330774+1984000+2300000</f>
        <v>4614774</v>
      </c>
      <c r="L22" s="40"/>
      <c r="M22" s="147">
        <v>11597302</v>
      </c>
      <c r="N22" s="40"/>
      <c r="O22" s="40">
        <f>+M22+K22</f>
        <v>16212076</v>
      </c>
      <c r="P22" s="40"/>
      <c r="Q22" s="96">
        <f t="shared" si="1"/>
        <v>0</v>
      </c>
    </row>
    <row r="23" spans="1:17" ht="12.75" customHeight="1">
      <c r="A23" s="23" t="s">
        <v>22</v>
      </c>
      <c r="B23" s="23"/>
      <c r="C23" s="40">
        <f>1026488+15000000</f>
        <v>16026488</v>
      </c>
      <c r="D23" s="40"/>
      <c r="E23" s="40">
        <v>36902623</v>
      </c>
      <c r="F23" s="40"/>
      <c r="G23" s="40">
        <f>17482806+1348846</f>
        <v>18831652</v>
      </c>
      <c r="H23" s="40"/>
      <c r="I23" s="40">
        <v>19560581</v>
      </c>
      <c r="J23" s="40"/>
      <c r="K23" s="40">
        <f>174626+81799+18119+423353</f>
        <v>697897</v>
      </c>
      <c r="L23" s="40"/>
      <c r="M23" s="40">
        <v>16644145</v>
      </c>
      <c r="N23" s="40"/>
      <c r="O23" s="40">
        <f t="shared" si="0"/>
        <v>17342042</v>
      </c>
      <c r="P23" s="40"/>
      <c r="Q23" s="96">
        <f t="shared" si="1"/>
        <v>0</v>
      </c>
    </row>
    <row r="24" spans="1:17" ht="12.75" customHeight="1" hidden="1">
      <c r="A24" s="23" t="s">
        <v>23</v>
      </c>
      <c r="B24" s="23"/>
      <c r="C24" s="40">
        <v>0</v>
      </c>
      <c r="D24" s="40"/>
      <c r="E24" s="40">
        <v>0</v>
      </c>
      <c r="F24" s="40"/>
      <c r="G24" s="40">
        <v>0</v>
      </c>
      <c r="H24" s="40"/>
      <c r="I24" s="40">
        <v>0</v>
      </c>
      <c r="J24" s="40"/>
      <c r="K24" s="40">
        <v>0</v>
      </c>
      <c r="L24" s="40"/>
      <c r="M24" s="40">
        <v>0</v>
      </c>
      <c r="N24" s="40"/>
      <c r="O24" s="40">
        <f t="shared" si="0"/>
        <v>0</v>
      </c>
      <c r="P24" s="40"/>
      <c r="Q24" s="96">
        <f t="shared" si="1"/>
        <v>0</v>
      </c>
    </row>
    <row r="25" spans="1:17" ht="12.75" customHeight="1">
      <c r="A25" s="23" t="s">
        <v>24</v>
      </c>
      <c r="B25" s="23"/>
      <c r="C25" s="40">
        <v>1671371</v>
      </c>
      <c r="D25" s="40"/>
      <c r="E25" s="40">
        <v>4916852</v>
      </c>
      <c r="F25" s="40"/>
      <c r="G25" s="40">
        <f>1032323+1439500</f>
        <v>2471823</v>
      </c>
      <c r="H25" s="40"/>
      <c r="I25" s="40">
        <v>2887497</v>
      </c>
      <c r="J25" s="40"/>
      <c r="K25" s="40">
        <f>331988+96509</f>
        <v>428497</v>
      </c>
      <c r="L25" s="40"/>
      <c r="M25" s="40">
        <v>1600858</v>
      </c>
      <c r="N25" s="40"/>
      <c r="O25" s="40">
        <f t="shared" si="0"/>
        <v>2029355</v>
      </c>
      <c r="P25" s="40"/>
      <c r="Q25" s="96">
        <f t="shared" si="1"/>
        <v>0</v>
      </c>
    </row>
    <row r="26" spans="1:17" ht="12.75" customHeight="1">
      <c r="A26" s="23" t="s">
        <v>179</v>
      </c>
      <c r="B26" s="23"/>
      <c r="C26" s="40">
        <v>1678123</v>
      </c>
      <c r="D26" s="40"/>
      <c r="E26" s="40">
        <v>5749619</v>
      </c>
      <c r="F26" s="40"/>
      <c r="G26" s="40">
        <v>2824807</v>
      </c>
      <c r="H26" s="40"/>
      <c r="I26" s="40">
        <v>3146604</v>
      </c>
      <c r="J26" s="40"/>
      <c r="K26" s="40">
        <f>205954+129169+148654</f>
        <v>483777</v>
      </c>
      <c r="L26" s="40"/>
      <c r="M26" s="40">
        <v>2119238</v>
      </c>
      <c r="N26" s="40"/>
      <c r="O26" s="40">
        <f t="shared" si="0"/>
        <v>2603015</v>
      </c>
      <c r="P26" s="40"/>
      <c r="Q26" s="96">
        <f t="shared" si="1"/>
        <v>0</v>
      </c>
    </row>
    <row r="27" spans="1:17" ht="12.75" customHeight="1">
      <c r="A27" s="23" t="s">
        <v>25</v>
      </c>
      <c r="B27" s="23"/>
      <c r="C27" s="40">
        <f>163442*1000</f>
        <v>163442000</v>
      </c>
      <c r="D27" s="40"/>
      <c r="E27" s="40">
        <f>342938*1000</f>
        <v>342938000</v>
      </c>
      <c r="F27" s="40"/>
      <c r="G27" s="40">
        <f>57006*1000</f>
        <v>57006000</v>
      </c>
      <c r="H27" s="40"/>
      <c r="I27" s="40">
        <f>86881*1000</f>
        <v>86881000</v>
      </c>
      <c r="J27" s="40"/>
      <c r="K27" s="40">
        <f>(30830+3243+10013)*1000</f>
        <v>44086000</v>
      </c>
      <c r="L27" s="40"/>
      <c r="M27" s="40">
        <f>(964+211007)*1000</f>
        <v>211971000</v>
      </c>
      <c r="N27" s="40"/>
      <c r="O27" s="40">
        <f t="shared" si="0"/>
        <v>256057000</v>
      </c>
      <c r="P27" s="40"/>
      <c r="Q27" s="96">
        <f t="shared" si="1"/>
        <v>0</v>
      </c>
    </row>
    <row r="28" spans="1:17" ht="12.75" customHeight="1" hidden="1">
      <c r="A28" s="133" t="s">
        <v>252</v>
      </c>
      <c r="B28" s="23"/>
      <c r="C28" s="40">
        <v>0</v>
      </c>
      <c r="D28" s="40"/>
      <c r="E28" s="40">
        <v>0</v>
      </c>
      <c r="F28" s="40"/>
      <c r="G28" s="40">
        <v>0</v>
      </c>
      <c r="H28" s="40"/>
      <c r="I28" s="40">
        <v>0</v>
      </c>
      <c r="J28" s="40"/>
      <c r="K28" s="40">
        <v>0</v>
      </c>
      <c r="L28" s="40"/>
      <c r="M28" s="40">
        <v>0</v>
      </c>
      <c r="N28" s="40"/>
      <c r="O28" s="40">
        <f t="shared" si="0"/>
        <v>0</v>
      </c>
      <c r="P28" s="40"/>
      <c r="Q28" s="96">
        <f t="shared" si="1"/>
        <v>0</v>
      </c>
    </row>
    <row r="29" spans="1:17" ht="12.75" customHeight="1">
      <c r="A29" s="23" t="s">
        <v>27</v>
      </c>
      <c r="B29" s="23"/>
      <c r="C29" s="40">
        <f>5304618+18220</f>
        <v>5322838</v>
      </c>
      <c r="D29" s="40"/>
      <c r="E29" s="40">
        <v>13390298</v>
      </c>
      <c r="F29" s="40"/>
      <c r="G29" s="40">
        <f>967782+1606500</f>
        <v>2574282</v>
      </c>
      <c r="H29" s="40"/>
      <c r="I29" s="40">
        <v>3018096</v>
      </c>
      <c r="J29" s="40"/>
      <c r="K29" s="40">
        <f>79871+102951+147454+65528+4738867</f>
        <v>5134671</v>
      </c>
      <c r="L29" s="40"/>
      <c r="M29" s="40">
        <f>5237531</f>
        <v>5237531</v>
      </c>
      <c r="N29" s="40"/>
      <c r="O29" s="40">
        <f aca="true" t="shared" si="2" ref="O29:O93">+M29+K29</f>
        <v>10372202</v>
      </c>
      <c r="P29" s="40"/>
      <c r="Q29" s="96">
        <f aca="true" t="shared" si="3" ref="Q29:Q93">+E29-I29-O29</f>
        <v>0</v>
      </c>
    </row>
    <row r="30" spans="1:17" ht="12.75" customHeight="1">
      <c r="A30" s="23" t="s">
        <v>28</v>
      </c>
      <c r="B30" s="23"/>
      <c r="C30" s="40">
        <f>14697951+40152</f>
        <v>14738103</v>
      </c>
      <c r="D30" s="40"/>
      <c r="E30" s="40">
        <v>40665658</v>
      </c>
      <c r="F30" s="40"/>
      <c r="G30" s="40">
        <v>16337086</v>
      </c>
      <c r="H30" s="40"/>
      <c r="I30" s="40">
        <v>18272554</v>
      </c>
      <c r="J30" s="40"/>
      <c r="K30" s="40">
        <f>1045721+2174844</f>
        <v>3220565</v>
      </c>
      <c r="L30" s="40"/>
      <c r="M30" s="40">
        <v>19172539</v>
      </c>
      <c r="N30" s="40"/>
      <c r="O30" s="40">
        <f t="shared" si="2"/>
        <v>22393104</v>
      </c>
      <c r="P30" s="40"/>
      <c r="Q30" s="96">
        <f t="shared" si="3"/>
        <v>0</v>
      </c>
    </row>
    <row r="31" spans="1:17" ht="12.75" customHeight="1">
      <c r="A31" s="23" t="s">
        <v>29</v>
      </c>
      <c r="B31" s="23"/>
      <c r="C31" s="40">
        <v>6039845</v>
      </c>
      <c r="D31" s="40"/>
      <c r="E31" s="40">
        <v>17284884</v>
      </c>
      <c r="F31" s="40"/>
      <c r="G31" s="40">
        <v>8213863</v>
      </c>
      <c r="H31" s="40"/>
      <c r="I31" s="40">
        <v>9278600</v>
      </c>
      <c r="J31" s="40"/>
      <c r="K31" s="40">
        <f>560295+102706+240561</f>
        <v>903562</v>
      </c>
      <c r="L31" s="40"/>
      <c r="M31" s="40">
        <v>7102722</v>
      </c>
      <c r="N31" s="40"/>
      <c r="O31" s="40">
        <f>+M31+K31</f>
        <v>8006284</v>
      </c>
      <c r="P31" s="40"/>
      <c r="Q31" s="96">
        <f>+E31-I31-O31</f>
        <v>0</v>
      </c>
    </row>
    <row r="32" spans="1:17" ht="12.75" customHeight="1">
      <c r="A32" s="23" t="s">
        <v>30</v>
      </c>
      <c r="B32" s="23"/>
      <c r="C32" s="40">
        <f>8639238+99322</f>
        <v>8738560</v>
      </c>
      <c r="D32" s="40"/>
      <c r="E32" s="40">
        <v>27389475</v>
      </c>
      <c r="F32" s="40"/>
      <c r="G32" s="40">
        <v>11959027</v>
      </c>
      <c r="H32" s="40"/>
      <c r="I32" s="40">
        <v>14044152</v>
      </c>
      <c r="J32" s="40"/>
      <c r="K32" s="40">
        <f>988453+266806+1370000</f>
        <v>2625259</v>
      </c>
      <c r="L32" s="40"/>
      <c r="M32" s="40">
        <v>10720064</v>
      </c>
      <c r="N32" s="40"/>
      <c r="O32" s="40">
        <f t="shared" si="2"/>
        <v>13345323</v>
      </c>
      <c r="P32" s="40"/>
      <c r="Q32" s="96">
        <f t="shared" si="3"/>
        <v>0</v>
      </c>
    </row>
    <row r="33" spans="1:17" ht="12.75" customHeight="1" hidden="1">
      <c r="A33" s="23" t="s">
        <v>239</v>
      </c>
      <c r="B33" s="23"/>
      <c r="C33" s="40">
        <v>0</v>
      </c>
      <c r="D33" s="40"/>
      <c r="E33" s="40">
        <v>0</v>
      </c>
      <c r="F33" s="40"/>
      <c r="G33" s="40">
        <v>0</v>
      </c>
      <c r="H33" s="40"/>
      <c r="I33" s="40">
        <v>0</v>
      </c>
      <c r="J33" s="40"/>
      <c r="K33" s="40">
        <v>0</v>
      </c>
      <c r="L33" s="40"/>
      <c r="M33" s="40">
        <v>0</v>
      </c>
      <c r="N33" s="40"/>
      <c r="O33" s="40">
        <f t="shared" si="2"/>
        <v>0</v>
      </c>
      <c r="P33" s="40"/>
      <c r="Q33" s="96">
        <f t="shared" si="3"/>
        <v>0</v>
      </c>
    </row>
    <row r="34" spans="1:17" ht="12.75" customHeight="1">
      <c r="A34" s="23" t="s">
        <v>32</v>
      </c>
      <c r="B34" s="23"/>
      <c r="C34" s="40">
        <f>201834*1000</f>
        <v>201834000</v>
      </c>
      <c r="D34" s="40"/>
      <c r="E34" s="147">
        <f>319649*1000</f>
        <v>319649000</v>
      </c>
      <c r="F34" s="40"/>
      <c r="G34" s="40">
        <f>69018*1000</f>
        <v>69018000</v>
      </c>
      <c r="H34" s="40"/>
      <c r="I34" s="40">
        <f>82883*1000</f>
        <v>82883000</v>
      </c>
      <c r="J34" s="40"/>
      <c r="K34" s="40">
        <f>(3098+11207+2661)*1000</f>
        <v>16966000</v>
      </c>
      <c r="L34" s="40"/>
      <c r="M34" s="40">
        <f>(18161+9017+192622)*1000</f>
        <v>219800000</v>
      </c>
      <c r="N34" s="40"/>
      <c r="O34" s="40">
        <f t="shared" si="2"/>
        <v>236766000</v>
      </c>
      <c r="P34" s="40"/>
      <c r="Q34" s="96">
        <f t="shared" si="3"/>
        <v>0</v>
      </c>
    </row>
    <row r="35" spans="1:17" ht="12.75" customHeight="1">
      <c r="A35" s="23" t="s">
        <v>33</v>
      </c>
      <c r="B35" s="23"/>
      <c r="C35" s="40">
        <f>4715665+17218</f>
        <v>4732883</v>
      </c>
      <c r="D35" s="40"/>
      <c r="E35" s="40">
        <v>8354658</v>
      </c>
      <c r="F35" s="40"/>
      <c r="G35" s="40">
        <f>563773+1600000</f>
        <v>2163773</v>
      </c>
      <c r="H35" s="40"/>
      <c r="I35" s="40">
        <v>2486313</v>
      </c>
      <c r="J35" s="40"/>
      <c r="K35" s="40">
        <f>223848+59755+14339+22702</f>
        <v>320644</v>
      </c>
      <c r="L35" s="40"/>
      <c r="M35" s="40">
        <f>500000+5047701</f>
        <v>5547701</v>
      </c>
      <c r="N35" s="40"/>
      <c r="O35" s="40">
        <f t="shared" si="2"/>
        <v>5868345</v>
      </c>
      <c r="P35" s="40"/>
      <c r="Q35" s="96">
        <f t="shared" si="3"/>
        <v>0</v>
      </c>
    </row>
    <row r="36" spans="1:17" ht="12.75" customHeight="1">
      <c r="A36" s="23" t="s">
        <v>34</v>
      </c>
      <c r="B36" s="23"/>
      <c r="C36" s="40">
        <v>657760</v>
      </c>
      <c r="D36" s="40"/>
      <c r="E36" s="40">
        <v>4007212</v>
      </c>
      <c r="F36" s="40"/>
      <c r="G36" s="40">
        <v>2407366</v>
      </c>
      <c r="H36" s="40"/>
      <c r="I36" s="40">
        <v>2762108</v>
      </c>
      <c r="J36" s="40"/>
      <c r="K36" s="40">
        <f>37094+24287</f>
        <v>61381</v>
      </c>
      <c r="L36" s="40"/>
      <c r="M36" s="40">
        <v>1183723</v>
      </c>
      <c r="N36" s="40"/>
      <c r="O36" s="40">
        <f t="shared" si="2"/>
        <v>1245104</v>
      </c>
      <c r="P36" s="40"/>
      <c r="Q36" s="96">
        <f t="shared" si="3"/>
        <v>0</v>
      </c>
    </row>
    <row r="37" spans="1:17" ht="12.75" customHeight="1">
      <c r="A37" s="23" t="s">
        <v>35</v>
      </c>
      <c r="B37" s="23"/>
      <c r="C37" s="40">
        <f>5211699</f>
        <v>5211699</v>
      </c>
      <c r="D37" s="40"/>
      <c r="E37" s="40">
        <v>19429610</v>
      </c>
      <c r="F37" s="40"/>
      <c r="G37" s="40">
        <v>12409177</v>
      </c>
      <c r="H37" s="40"/>
      <c r="I37" s="40">
        <v>13197442</v>
      </c>
      <c r="J37" s="40"/>
      <c r="K37" s="40">
        <f>336100+97038+200000</f>
        <v>633138</v>
      </c>
      <c r="L37" s="40"/>
      <c r="M37" s="40">
        <v>5599030</v>
      </c>
      <c r="N37" s="40"/>
      <c r="O37" s="40">
        <f t="shared" si="2"/>
        <v>6232168</v>
      </c>
      <c r="P37" s="40"/>
      <c r="Q37" s="96">
        <f t="shared" si="3"/>
        <v>0</v>
      </c>
    </row>
    <row r="38" spans="1:17" ht="12.75" customHeight="1">
      <c r="A38" s="23" t="s">
        <v>182</v>
      </c>
      <c r="B38" s="23"/>
      <c r="C38" s="40">
        <v>14626522</v>
      </c>
      <c r="D38" s="40"/>
      <c r="E38" s="40">
        <v>31254771</v>
      </c>
      <c r="F38" s="40"/>
      <c r="G38" s="40">
        <v>11970904</v>
      </c>
      <c r="H38" s="40"/>
      <c r="I38" s="40">
        <v>13971775</v>
      </c>
      <c r="J38" s="40"/>
      <c r="K38" s="40">
        <v>700449</v>
      </c>
      <c r="L38" s="40"/>
      <c r="M38" s="40">
        <f>2000000+14582547</f>
        <v>16582547</v>
      </c>
      <c r="N38" s="40"/>
      <c r="O38" s="40">
        <f t="shared" si="2"/>
        <v>17282996</v>
      </c>
      <c r="P38" s="40"/>
      <c r="Q38" s="96">
        <f t="shared" si="3"/>
        <v>0</v>
      </c>
    </row>
    <row r="39" spans="1:17" ht="12.75" customHeight="1" hidden="1">
      <c r="A39" s="23" t="s">
        <v>244</v>
      </c>
      <c r="B39" s="23"/>
      <c r="C39" s="24">
        <v>0</v>
      </c>
      <c r="D39" s="40"/>
      <c r="E39" s="24">
        <v>0</v>
      </c>
      <c r="F39" s="40"/>
      <c r="G39" s="24">
        <v>0</v>
      </c>
      <c r="H39" s="40"/>
      <c r="I39" s="24">
        <v>0</v>
      </c>
      <c r="J39" s="40"/>
      <c r="K39" s="24">
        <v>0</v>
      </c>
      <c r="L39" s="40"/>
      <c r="M39" s="24">
        <v>0</v>
      </c>
      <c r="N39" s="40"/>
      <c r="O39" s="40">
        <f t="shared" si="2"/>
        <v>0</v>
      </c>
      <c r="P39" s="40"/>
      <c r="Q39" s="96">
        <f t="shared" si="3"/>
        <v>0</v>
      </c>
    </row>
    <row r="40" spans="1:17" ht="12.75" customHeight="1" hidden="1">
      <c r="A40" s="23" t="s">
        <v>37</v>
      </c>
      <c r="B40" s="23"/>
      <c r="C40" s="24">
        <v>0</v>
      </c>
      <c r="D40" s="40"/>
      <c r="E40" s="24">
        <v>0</v>
      </c>
      <c r="F40" s="40"/>
      <c r="G40" s="24">
        <v>0</v>
      </c>
      <c r="H40" s="40"/>
      <c r="I40" s="24">
        <v>0</v>
      </c>
      <c r="J40" s="40"/>
      <c r="K40" s="24">
        <v>0</v>
      </c>
      <c r="L40" s="40"/>
      <c r="M40" s="24">
        <v>0</v>
      </c>
      <c r="N40" s="40"/>
      <c r="O40" s="40">
        <f t="shared" si="2"/>
        <v>0</v>
      </c>
      <c r="P40" s="40"/>
      <c r="Q40" s="96">
        <f t="shared" si="3"/>
        <v>0</v>
      </c>
    </row>
    <row r="41" spans="1:17" ht="12.75" customHeight="1">
      <c r="A41" s="23" t="s">
        <v>38</v>
      </c>
      <c r="B41" s="23"/>
      <c r="C41" s="24">
        <v>4194325</v>
      </c>
      <c r="D41" s="40"/>
      <c r="E41" s="24">
        <v>9938856</v>
      </c>
      <c r="F41" s="40"/>
      <c r="G41" s="24">
        <f>2499170+1741000</f>
        <v>4240170</v>
      </c>
      <c r="H41" s="40"/>
      <c r="I41" s="24">
        <v>5228422</v>
      </c>
      <c r="J41" s="40"/>
      <c r="K41" s="24">
        <f>390879+76744+25307</f>
        <v>492930</v>
      </c>
      <c r="L41" s="40"/>
      <c r="M41" s="24">
        <v>4217504</v>
      </c>
      <c r="N41" s="40"/>
      <c r="O41" s="40">
        <f t="shared" si="2"/>
        <v>4710434</v>
      </c>
      <c r="P41" s="40"/>
      <c r="Q41" s="96">
        <f t="shared" si="3"/>
        <v>0</v>
      </c>
    </row>
    <row r="42" spans="1:17" ht="12.75" customHeight="1" hidden="1">
      <c r="A42" s="23" t="s">
        <v>168</v>
      </c>
      <c r="B42" s="23"/>
      <c r="C42" s="24">
        <v>0</v>
      </c>
      <c r="D42" s="40"/>
      <c r="E42" s="24">
        <v>0</v>
      </c>
      <c r="F42" s="40"/>
      <c r="G42" s="24">
        <v>0</v>
      </c>
      <c r="H42" s="40"/>
      <c r="I42" s="24">
        <v>0</v>
      </c>
      <c r="J42" s="40"/>
      <c r="K42" s="24">
        <v>0</v>
      </c>
      <c r="L42" s="40"/>
      <c r="M42" s="24">
        <v>0</v>
      </c>
      <c r="N42" s="40"/>
      <c r="O42" s="40">
        <f t="shared" si="2"/>
        <v>0</v>
      </c>
      <c r="P42" s="40"/>
      <c r="Q42" s="96">
        <f t="shared" si="3"/>
        <v>0</v>
      </c>
    </row>
    <row r="43" spans="1:17" ht="12.75" customHeight="1" hidden="1">
      <c r="A43" s="23" t="s">
        <v>39</v>
      </c>
      <c r="B43" s="23"/>
      <c r="C43" s="24">
        <v>0</v>
      </c>
      <c r="D43" s="40"/>
      <c r="E43" s="24">
        <v>0</v>
      </c>
      <c r="F43" s="40"/>
      <c r="G43" s="24">
        <v>0</v>
      </c>
      <c r="H43" s="40"/>
      <c r="I43" s="24">
        <v>0</v>
      </c>
      <c r="J43" s="40"/>
      <c r="K43" s="24">
        <v>0</v>
      </c>
      <c r="L43" s="40"/>
      <c r="M43" s="24">
        <v>0</v>
      </c>
      <c r="N43" s="40"/>
      <c r="O43" s="40">
        <f t="shared" si="2"/>
        <v>0</v>
      </c>
      <c r="P43" s="40"/>
      <c r="Q43" s="96">
        <f t="shared" si="3"/>
        <v>0</v>
      </c>
    </row>
    <row r="44" spans="1:17" ht="12.75" customHeight="1">
      <c r="A44" s="23" t="s">
        <v>40</v>
      </c>
      <c r="B44" s="23"/>
      <c r="C44" s="24">
        <v>3701586</v>
      </c>
      <c r="D44" s="40"/>
      <c r="E44" s="24">
        <v>6674071</v>
      </c>
      <c r="F44" s="40"/>
      <c r="G44" s="24">
        <f>467651+1620980</f>
        <v>2088631</v>
      </c>
      <c r="H44" s="40"/>
      <c r="I44" s="24">
        <v>2395446</v>
      </c>
      <c r="J44" s="40"/>
      <c r="K44" s="24">
        <f>56066+44737+23398+9323</f>
        <v>133524</v>
      </c>
      <c r="L44" s="40"/>
      <c r="M44" s="24">
        <f>4145101</f>
        <v>4145101</v>
      </c>
      <c r="N44" s="40"/>
      <c r="O44" s="40">
        <f t="shared" si="2"/>
        <v>4278625</v>
      </c>
      <c r="P44" s="40"/>
      <c r="Q44" s="96">
        <f t="shared" si="3"/>
        <v>0</v>
      </c>
    </row>
    <row r="45" spans="1:17" ht="12.75" customHeight="1" hidden="1">
      <c r="A45" s="23" t="s">
        <v>41</v>
      </c>
      <c r="B45" s="23"/>
      <c r="C45" s="24">
        <v>0</v>
      </c>
      <c r="D45" s="40"/>
      <c r="E45" s="24">
        <v>0</v>
      </c>
      <c r="F45" s="40"/>
      <c r="G45" s="24">
        <v>0</v>
      </c>
      <c r="H45" s="40"/>
      <c r="I45" s="24">
        <v>0</v>
      </c>
      <c r="J45" s="40"/>
      <c r="K45" s="24">
        <v>0</v>
      </c>
      <c r="L45" s="40"/>
      <c r="M45" s="24">
        <v>0</v>
      </c>
      <c r="N45" s="40"/>
      <c r="O45" s="40">
        <f t="shared" si="2"/>
        <v>0</v>
      </c>
      <c r="P45" s="40"/>
      <c r="Q45" s="96">
        <f t="shared" si="3"/>
        <v>0</v>
      </c>
    </row>
    <row r="46" spans="1:17" ht="12.75" customHeight="1">
      <c r="A46" s="23" t="s">
        <v>42</v>
      </c>
      <c r="B46" s="23"/>
      <c r="C46" s="24">
        <v>2255163</v>
      </c>
      <c r="D46" s="147"/>
      <c r="E46" s="24">
        <v>5263735</v>
      </c>
      <c r="F46" s="147"/>
      <c r="G46" s="24">
        <v>2487705</v>
      </c>
      <c r="H46" s="147"/>
      <c r="I46" s="24">
        <v>2722608</v>
      </c>
      <c r="J46" s="147"/>
      <c r="K46" s="24">
        <v>36183</v>
      </c>
      <c r="L46" s="147"/>
      <c r="M46" s="24">
        <v>2504944</v>
      </c>
      <c r="N46" s="147"/>
      <c r="O46" s="147">
        <f t="shared" si="2"/>
        <v>2541127</v>
      </c>
      <c r="P46" s="147"/>
      <c r="Q46" s="102">
        <f t="shared" si="3"/>
        <v>0</v>
      </c>
    </row>
    <row r="47" spans="1:17" ht="12.75" customHeight="1">
      <c r="A47" s="23" t="s">
        <v>43</v>
      </c>
      <c r="B47" s="23"/>
      <c r="C47" s="24">
        <v>1230120</v>
      </c>
      <c r="D47" s="147"/>
      <c r="E47" s="24">
        <v>5319036</v>
      </c>
      <c r="F47" s="147"/>
      <c r="G47" s="24">
        <f>820257+2490000</f>
        <v>3310257</v>
      </c>
      <c r="H47" s="147"/>
      <c r="I47" s="24">
        <v>3705650</v>
      </c>
      <c r="J47" s="147"/>
      <c r="K47" s="24">
        <f>5788+79269+66942+55000</f>
        <v>206999</v>
      </c>
      <c r="L47" s="147"/>
      <c r="M47" s="24">
        <f>1406387</f>
        <v>1406387</v>
      </c>
      <c r="N47" s="147"/>
      <c r="O47" s="147">
        <f t="shared" si="2"/>
        <v>1613386</v>
      </c>
      <c r="P47" s="147"/>
      <c r="Q47" s="102">
        <f t="shared" si="3"/>
        <v>0</v>
      </c>
    </row>
    <row r="48" spans="1:17" ht="12.75" customHeight="1" hidden="1">
      <c r="A48" s="23" t="s">
        <v>44</v>
      </c>
      <c r="B48" s="23"/>
      <c r="C48" s="24">
        <v>0</v>
      </c>
      <c r="D48" s="147"/>
      <c r="E48" s="24">
        <v>0</v>
      </c>
      <c r="F48" s="147"/>
      <c r="G48" s="24">
        <v>0</v>
      </c>
      <c r="H48" s="147"/>
      <c r="I48" s="24">
        <v>0</v>
      </c>
      <c r="J48" s="147"/>
      <c r="K48" s="24">
        <v>0</v>
      </c>
      <c r="L48" s="147"/>
      <c r="M48" s="24">
        <v>0</v>
      </c>
      <c r="N48" s="147"/>
      <c r="O48" s="147">
        <f t="shared" si="2"/>
        <v>0</v>
      </c>
      <c r="P48" s="147"/>
      <c r="Q48" s="102">
        <f t="shared" si="3"/>
        <v>0</v>
      </c>
    </row>
    <row r="49" spans="1:17" ht="12.75" customHeight="1" hidden="1">
      <c r="A49" s="23" t="s">
        <v>241</v>
      </c>
      <c r="B49" s="23"/>
      <c r="C49" s="24">
        <v>0</v>
      </c>
      <c r="D49" s="147"/>
      <c r="E49" s="24">
        <v>0</v>
      </c>
      <c r="F49" s="147"/>
      <c r="G49" s="24">
        <v>0</v>
      </c>
      <c r="H49" s="147"/>
      <c r="I49" s="24">
        <v>0</v>
      </c>
      <c r="J49" s="147"/>
      <c r="K49" s="24">
        <v>0</v>
      </c>
      <c r="L49" s="147"/>
      <c r="M49" s="24">
        <v>0</v>
      </c>
      <c r="N49" s="147"/>
      <c r="O49" s="147">
        <f t="shared" si="2"/>
        <v>0</v>
      </c>
      <c r="P49" s="147"/>
      <c r="Q49" s="102">
        <f t="shared" si="3"/>
        <v>0</v>
      </c>
    </row>
    <row r="50" spans="1:17" ht="12.75" customHeight="1">
      <c r="A50" s="23" t="s">
        <v>46</v>
      </c>
      <c r="B50" s="23"/>
      <c r="C50" s="24">
        <f>1005874+48825+55000</f>
        <v>1109699</v>
      </c>
      <c r="D50" s="147"/>
      <c r="E50" s="24">
        <v>8913249</v>
      </c>
      <c r="F50" s="147"/>
      <c r="G50" s="24">
        <f>3862871</f>
        <v>3862871</v>
      </c>
      <c r="H50" s="147"/>
      <c r="I50" s="24">
        <v>4251385</v>
      </c>
      <c r="J50" s="147"/>
      <c r="K50" s="24">
        <f>49011+43851+312759+49360</f>
        <v>454981</v>
      </c>
      <c r="L50" s="147"/>
      <c r="M50" s="24">
        <v>4206883</v>
      </c>
      <c r="N50" s="147"/>
      <c r="O50" s="147">
        <f t="shared" si="2"/>
        <v>4661864</v>
      </c>
      <c r="P50" s="147"/>
      <c r="Q50" s="102">
        <f t="shared" si="3"/>
        <v>0</v>
      </c>
    </row>
    <row r="51" spans="1:17" ht="12.75" customHeight="1">
      <c r="A51" s="23" t="s">
        <v>47</v>
      </c>
      <c r="B51" s="23"/>
      <c r="C51" s="24">
        <f>2124646+25348</f>
        <v>2149994</v>
      </c>
      <c r="D51" s="147"/>
      <c r="E51" s="24">
        <v>8022447</v>
      </c>
      <c r="F51" s="147"/>
      <c r="G51" s="24">
        <v>4822737</v>
      </c>
      <c r="H51" s="147"/>
      <c r="I51" s="24">
        <v>5407992</v>
      </c>
      <c r="J51" s="147"/>
      <c r="K51" s="24">
        <f>264749+3758+63599+160000</f>
        <v>492106</v>
      </c>
      <c r="L51" s="147"/>
      <c r="M51" s="24">
        <v>2122349</v>
      </c>
      <c r="N51" s="147"/>
      <c r="O51" s="147">
        <f t="shared" si="2"/>
        <v>2614455</v>
      </c>
      <c r="P51" s="147"/>
      <c r="Q51" s="102">
        <f t="shared" si="3"/>
        <v>0</v>
      </c>
    </row>
    <row r="52" spans="1:17" ht="12.75" customHeight="1">
      <c r="A52" s="23" t="s">
        <v>48</v>
      </c>
      <c r="B52" s="23"/>
      <c r="C52" s="24">
        <v>11508637</v>
      </c>
      <c r="D52" s="147"/>
      <c r="E52" s="24">
        <v>29734660</v>
      </c>
      <c r="F52" s="147"/>
      <c r="G52" s="24">
        <v>13272891</v>
      </c>
      <c r="H52" s="147"/>
      <c r="I52" s="24">
        <v>15640953</v>
      </c>
      <c r="J52" s="147"/>
      <c r="K52" s="24">
        <f>138696+140688+2514956+227676+386841</f>
        <v>3408857</v>
      </c>
      <c r="L52" s="147"/>
      <c r="M52" s="24">
        <v>10684850</v>
      </c>
      <c r="N52" s="147"/>
      <c r="O52" s="147">
        <f>+M52+K52</f>
        <v>14093707</v>
      </c>
      <c r="P52" s="147"/>
      <c r="Q52" s="102">
        <f>+E52-I52-O52</f>
        <v>0</v>
      </c>
    </row>
    <row r="53" spans="1:17" ht="12.75" customHeight="1" hidden="1">
      <c r="A53" s="23" t="s">
        <v>170</v>
      </c>
      <c r="B53" s="23"/>
      <c r="C53" s="24">
        <v>0</v>
      </c>
      <c r="D53" s="147"/>
      <c r="E53" s="24">
        <v>0</v>
      </c>
      <c r="F53" s="147"/>
      <c r="G53" s="24">
        <v>0</v>
      </c>
      <c r="H53" s="147"/>
      <c r="I53" s="24">
        <v>0</v>
      </c>
      <c r="J53" s="147"/>
      <c r="K53" s="24">
        <v>0</v>
      </c>
      <c r="L53" s="147"/>
      <c r="M53" s="24">
        <v>0</v>
      </c>
      <c r="N53" s="147"/>
      <c r="O53" s="147">
        <f t="shared" si="2"/>
        <v>0</v>
      </c>
      <c r="P53" s="147"/>
      <c r="Q53" s="102">
        <f t="shared" si="3"/>
        <v>0</v>
      </c>
    </row>
    <row r="54" spans="1:17" ht="12.75" customHeight="1">
      <c r="A54" s="23" t="s">
        <v>49</v>
      </c>
      <c r="B54" s="23"/>
      <c r="C54" s="24">
        <v>7316770</v>
      </c>
      <c r="D54" s="147"/>
      <c r="E54" s="24">
        <v>20176434</v>
      </c>
      <c r="F54" s="147"/>
      <c r="G54" s="24">
        <v>8180712</v>
      </c>
      <c r="H54" s="147"/>
      <c r="I54" s="24">
        <v>10216040</v>
      </c>
      <c r="J54" s="147"/>
      <c r="K54" s="24">
        <f>857940+166554+75585</f>
        <v>1100079</v>
      </c>
      <c r="L54" s="147"/>
      <c r="M54" s="24">
        <v>8860315</v>
      </c>
      <c r="N54" s="147"/>
      <c r="O54" s="147">
        <f t="shared" si="2"/>
        <v>9960394</v>
      </c>
      <c r="P54" s="147"/>
      <c r="Q54" s="102">
        <f t="shared" si="3"/>
        <v>0</v>
      </c>
    </row>
    <row r="55" spans="1:17" ht="12.75" customHeight="1">
      <c r="A55" s="23" t="s">
        <v>50</v>
      </c>
      <c r="B55" s="23"/>
      <c r="C55" s="24">
        <v>1367730</v>
      </c>
      <c r="D55" s="147"/>
      <c r="E55" s="24">
        <v>6410061</v>
      </c>
      <c r="F55" s="147"/>
      <c r="G55" s="24">
        <v>3740154</v>
      </c>
      <c r="H55" s="147"/>
      <c r="I55" s="24">
        <v>4197714</v>
      </c>
      <c r="J55" s="147"/>
      <c r="K55" s="24">
        <f>318257+36331+31475+1826284</f>
        <v>2212347</v>
      </c>
      <c r="L55" s="147"/>
      <c r="M55" s="24">
        <v>0</v>
      </c>
      <c r="N55" s="147"/>
      <c r="O55" s="147">
        <f t="shared" si="2"/>
        <v>2212347</v>
      </c>
      <c r="P55" s="147"/>
      <c r="Q55" s="102">
        <f t="shared" si="3"/>
        <v>0</v>
      </c>
    </row>
    <row r="56" spans="1:17" ht="12.75" customHeight="1">
      <c r="A56" s="23" t="s">
        <v>246</v>
      </c>
      <c r="B56" s="23"/>
      <c r="C56" s="24">
        <v>9784415</v>
      </c>
      <c r="D56" s="147"/>
      <c r="E56" s="24">
        <v>35236244</v>
      </c>
      <c r="F56" s="147"/>
      <c r="G56" s="24">
        <v>8988808</v>
      </c>
      <c r="H56" s="147"/>
      <c r="I56" s="24">
        <v>11960293</v>
      </c>
      <c r="J56" s="147"/>
      <c r="K56" s="24">
        <f>844676+228148+19802045</f>
        <v>20874869</v>
      </c>
      <c r="L56" s="147"/>
      <c r="M56" s="24">
        <v>2401082</v>
      </c>
      <c r="N56" s="147"/>
      <c r="O56" s="147">
        <f t="shared" si="2"/>
        <v>23275951</v>
      </c>
      <c r="P56" s="147"/>
      <c r="Q56" s="102">
        <f t="shared" si="3"/>
        <v>0</v>
      </c>
    </row>
    <row r="57" spans="1:17" ht="12.75" customHeight="1">
      <c r="A57" s="23" t="s">
        <v>183</v>
      </c>
      <c r="B57" s="23"/>
      <c r="C57" s="24">
        <f>17420977+3567228</f>
        <v>20988205</v>
      </c>
      <c r="D57" s="147"/>
      <c r="E57" s="24">
        <v>59753837</v>
      </c>
      <c r="F57" s="147"/>
      <c r="G57" s="24">
        <f>12651097+12669946</f>
        <v>25321043</v>
      </c>
      <c r="H57" s="147"/>
      <c r="I57" s="24">
        <v>31389134</v>
      </c>
      <c r="J57" s="147"/>
      <c r="K57" s="24">
        <v>477651</v>
      </c>
      <c r="L57" s="147"/>
      <c r="M57" s="24">
        <v>27887052</v>
      </c>
      <c r="N57" s="147"/>
      <c r="O57" s="147">
        <f t="shared" si="2"/>
        <v>28364703</v>
      </c>
      <c r="P57" s="147"/>
      <c r="Q57" s="102">
        <f t="shared" si="3"/>
        <v>0</v>
      </c>
    </row>
    <row r="58" spans="1:17" ht="12.75" customHeight="1" hidden="1">
      <c r="A58" s="23" t="s">
        <v>52</v>
      </c>
      <c r="B58" s="23"/>
      <c r="C58" s="24">
        <v>0</v>
      </c>
      <c r="D58" s="147"/>
      <c r="E58" s="24">
        <v>0</v>
      </c>
      <c r="F58" s="147"/>
      <c r="G58" s="24">
        <v>0</v>
      </c>
      <c r="H58" s="147"/>
      <c r="I58" s="24">
        <v>0</v>
      </c>
      <c r="J58" s="147"/>
      <c r="K58" s="24">
        <v>0</v>
      </c>
      <c r="L58" s="147"/>
      <c r="M58" s="24">
        <v>0</v>
      </c>
      <c r="N58" s="147"/>
      <c r="O58" s="147">
        <f t="shared" si="2"/>
        <v>0</v>
      </c>
      <c r="P58" s="147"/>
      <c r="Q58" s="102">
        <f t="shared" si="3"/>
        <v>0</v>
      </c>
    </row>
    <row r="59" spans="1:17" ht="12.75" customHeight="1">
      <c r="A59" s="23" t="s">
        <v>53</v>
      </c>
      <c r="B59" s="23"/>
      <c r="C59" s="24">
        <f>8404361+402678+3031</f>
        <v>8810070</v>
      </c>
      <c r="D59" s="147"/>
      <c r="E59" s="24">
        <v>31285326</v>
      </c>
      <c r="F59" s="147"/>
      <c r="G59" s="24">
        <v>15433436</v>
      </c>
      <c r="H59" s="147"/>
      <c r="I59" s="24">
        <v>18699505</v>
      </c>
      <c r="J59" s="147"/>
      <c r="K59" s="24">
        <f>1538536+470209+1184077</f>
        <v>3192822</v>
      </c>
      <c r="L59" s="147"/>
      <c r="M59" s="24">
        <v>9392999</v>
      </c>
      <c r="N59" s="147"/>
      <c r="O59" s="147">
        <f t="shared" si="2"/>
        <v>12585821</v>
      </c>
      <c r="P59" s="147"/>
      <c r="Q59" s="102">
        <f t="shared" si="3"/>
        <v>0</v>
      </c>
    </row>
    <row r="60" spans="1:17" ht="12.75" customHeight="1">
      <c r="A60" s="23" t="s">
        <v>54</v>
      </c>
      <c r="B60" s="23"/>
      <c r="C60" s="24">
        <v>2835367</v>
      </c>
      <c r="D60" s="147"/>
      <c r="E60" s="24">
        <v>8459923</v>
      </c>
      <c r="F60" s="147"/>
      <c r="G60" s="24">
        <v>4355160</v>
      </c>
      <c r="H60" s="147"/>
      <c r="I60" s="24">
        <v>5000566</v>
      </c>
      <c r="J60" s="147"/>
      <c r="K60" s="24">
        <f>118563+90474+445200</f>
        <v>654237</v>
      </c>
      <c r="L60" s="147"/>
      <c r="M60" s="24">
        <v>2805120</v>
      </c>
      <c r="N60" s="147"/>
      <c r="O60" s="147">
        <f t="shared" si="2"/>
        <v>3459357</v>
      </c>
      <c r="P60" s="147"/>
      <c r="Q60" s="102">
        <f t="shared" si="3"/>
        <v>0</v>
      </c>
    </row>
    <row r="61" spans="1:17" ht="12.75" customHeight="1">
      <c r="A61" s="23" t="s">
        <v>55</v>
      </c>
      <c r="B61" s="23"/>
      <c r="C61" s="24">
        <f>5837640+18209</f>
        <v>5855849</v>
      </c>
      <c r="D61" s="147"/>
      <c r="E61" s="24">
        <v>22809738</v>
      </c>
      <c r="F61" s="147"/>
      <c r="G61" s="24">
        <v>11736189</v>
      </c>
      <c r="H61" s="147"/>
      <c r="I61" s="24">
        <v>13605972</v>
      </c>
      <c r="J61" s="147"/>
      <c r="K61" s="24">
        <f>427893+75486</f>
        <v>503379</v>
      </c>
      <c r="L61" s="147"/>
      <c r="M61" s="24">
        <v>8700387</v>
      </c>
      <c r="N61" s="147"/>
      <c r="O61" s="147">
        <f t="shared" si="2"/>
        <v>9203766</v>
      </c>
      <c r="P61" s="147"/>
      <c r="Q61" s="102">
        <f>+E61-I61-O61</f>
        <v>0</v>
      </c>
    </row>
    <row r="62" spans="1:17" ht="12.75" customHeight="1" hidden="1">
      <c r="A62" s="23" t="s">
        <v>171</v>
      </c>
      <c r="B62" s="23"/>
      <c r="C62" s="24">
        <v>0</v>
      </c>
      <c r="D62" s="147"/>
      <c r="E62" s="24">
        <v>0</v>
      </c>
      <c r="F62" s="147"/>
      <c r="G62" s="24">
        <v>0</v>
      </c>
      <c r="H62" s="147"/>
      <c r="I62" s="24">
        <v>0</v>
      </c>
      <c r="J62" s="147"/>
      <c r="K62" s="24">
        <v>0</v>
      </c>
      <c r="L62" s="147"/>
      <c r="M62" s="24">
        <v>0</v>
      </c>
      <c r="N62" s="147"/>
      <c r="O62" s="147">
        <f t="shared" si="2"/>
        <v>0</v>
      </c>
      <c r="P62" s="147"/>
      <c r="Q62" s="102">
        <f t="shared" si="3"/>
        <v>0</v>
      </c>
    </row>
    <row r="63" spans="1:17" ht="12.75" customHeight="1" hidden="1">
      <c r="A63" s="23" t="s">
        <v>56</v>
      </c>
      <c r="B63" s="23"/>
      <c r="C63" s="24">
        <v>0</v>
      </c>
      <c r="D63" s="147"/>
      <c r="E63" s="24">
        <v>0</v>
      </c>
      <c r="F63" s="147"/>
      <c r="G63" s="24">
        <v>0</v>
      </c>
      <c r="H63" s="147"/>
      <c r="I63" s="24">
        <v>0</v>
      </c>
      <c r="J63" s="147"/>
      <c r="K63" s="24">
        <v>0</v>
      </c>
      <c r="L63" s="147"/>
      <c r="M63" s="24">
        <v>0</v>
      </c>
      <c r="N63" s="147"/>
      <c r="O63" s="147">
        <f t="shared" si="2"/>
        <v>0</v>
      </c>
      <c r="P63" s="147"/>
      <c r="Q63" s="102">
        <f t="shared" si="3"/>
        <v>0</v>
      </c>
    </row>
    <row r="64" spans="1:17" ht="12.75" customHeight="1">
      <c r="A64" s="23" t="s">
        <v>57</v>
      </c>
      <c r="B64" s="23"/>
      <c r="C64" s="24">
        <f>247377+9522715</f>
        <v>9770092</v>
      </c>
      <c r="D64" s="147"/>
      <c r="E64" s="24">
        <v>18530739</v>
      </c>
      <c r="F64" s="147"/>
      <c r="G64" s="24">
        <v>5764607</v>
      </c>
      <c r="H64" s="147"/>
      <c r="I64" s="24">
        <v>6314042</v>
      </c>
      <c r="J64" s="147"/>
      <c r="K64" s="24">
        <f>772479+129553+555468</f>
        <v>1457500</v>
      </c>
      <c r="L64" s="147"/>
      <c r="M64" s="24">
        <v>10759197</v>
      </c>
      <c r="N64" s="147"/>
      <c r="O64" s="147">
        <f t="shared" si="2"/>
        <v>12216697</v>
      </c>
      <c r="P64" s="147"/>
      <c r="Q64" s="102">
        <f t="shared" si="3"/>
        <v>0</v>
      </c>
    </row>
    <row r="65" spans="1:17" ht="12.75" customHeight="1">
      <c r="A65" s="23" t="s">
        <v>58</v>
      </c>
      <c r="B65" s="23"/>
      <c r="C65" s="24">
        <v>411253</v>
      </c>
      <c r="D65" s="147"/>
      <c r="E65" s="24">
        <v>2195622</v>
      </c>
      <c r="F65" s="147"/>
      <c r="G65" s="24">
        <v>1342713</v>
      </c>
      <c r="H65" s="147"/>
      <c r="I65" s="24">
        <v>1691255</v>
      </c>
      <c r="J65" s="147"/>
      <c r="K65" s="24">
        <f>11700+16990</f>
        <v>28690</v>
      </c>
      <c r="L65" s="147"/>
      <c r="M65" s="24">
        <v>475677</v>
      </c>
      <c r="N65" s="147"/>
      <c r="O65" s="147">
        <f t="shared" si="2"/>
        <v>504367</v>
      </c>
      <c r="P65" s="147"/>
      <c r="Q65" s="102">
        <f t="shared" si="3"/>
        <v>0</v>
      </c>
    </row>
    <row r="66" spans="1:17" ht="12.75" customHeight="1">
      <c r="A66" s="23" t="s">
        <v>59</v>
      </c>
      <c r="B66" s="23"/>
      <c r="C66" s="24">
        <f>34178605+3076151</f>
        <v>37254756</v>
      </c>
      <c r="D66" s="40"/>
      <c r="E66" s="24">
        <v>97358178</v>
      </c>
      <c r="F66" s="40"/>
      <c r="G66" s="24">
        <v>37101983</v>
      </c>
      <c r="H66" s="40"/>
      <c r="I66" s="24">
        <v>45033377</v>
      </c>
      <c r="J66" s="40"/>
      <c r="K66" s="24">
        <f>82374+7551821</f>
        <v>7634195</v>
      </c>
      <c r="L66" s="40"/>
      <c r="M66" s="24">
        <v>44690606</v>
      </c>
      <c r="N66" s="40"/>
      <c r="O66" s="40">
        <f t="shared" si="2"/>
        <v>52324801</v>
      </c>
      <c r="P66" s="40"/>
      <c r="Q66" s="96">
        <f t="shared" si="3"/>
        <v>0</v>
      </c>
    </row>
    <row r="67" spans="1:17" ht="12.75" customHeight="1" hidden="1">
      <c r="A67" s="23" t="s">
        <v>60</v>
      </c>
      <c r="B67" s="23"/>
      <c r="C67" s="24">
        <v>0</v>
      </c>
      <c r="D67" s="40"/>
      <c r="E67" s="24">
        <v>0</v>
      </c>
      <c r="F67" s="40"/>
      <c r="G67" s="24">
        <v>0</v>
      </c>
      <c r="H67" s="40"/>
      <c r="I67" s="24">
        <v>0</v>
      </c>
      <c r="J67" s="40"/>
      <c r="K67" s="24">
        <v>0</v>
      </c>
      <c r="L67" s="40"/>
      <c r="M67" s="24">
        <v>0</v>
      </c>
      <c r="N67" s="40"/>
      <c r="O67" s="40">
        <f t="shared" si="2"/>
        <v>0</v>
      </c>
      <c r="P67" s="40"/>
      <c r="Q67" s="96">
        <f t="shared" si="3"/>
        <v>0</v>
      </c>
    </row>
    <row r="68" spans="1:17" ht="12.75" customHeight="1">
      <c r="A68" s="23" t="s">
        <v>97</v>
      </c>
      <c r="B68" s="23"/>
      <c r="C68" s="24">
        <v>1354557</v>
      </c>
      <c r="D68" s="40"/>
      <c r="E68" s="24">
        <v>4229212</v>
      </c>
      <c r="F68" s="40"/>
      <c r="G68" s="24">
        <f>616269+1715546</f>
        <v>2331815</v>
      </c>
      <c r="H68" s="40"/>
      <c r="I68" s="24">
        <v>2619712</v>
      </c>
      <c r="J68" s="40"/>
      <c r="K68" s="24">
        <f>87621+16667+33809+122297+58743</f>
        <v>319137</v>
      </c>
      <c r="L68" s="40"/>
      <c r="M68" s="24">
        <v>1290363</v>
      </c>
      <c r="N68" s="40"/>
      <c r="O68" s="40">
        <f t="shared" si="2"/>
        <v>1609500</v>
      </c>
      <c r="P68" s="40"/>
      <c r="Q68" s="96">
        <f t="shared" si="3"/>
        <v>0</v>
      </c>
    </row>
    <row r="69" spans="1:17" ht="12.75" customHeight="1">
      <c r="A69" s="23" t="s">
        <v>61</v>
      </c>
      <c r="B69" s="23"/>
      <c r="C69" s="24">
        <f>5321236+53937</f>
        <v>5375173</v>
      </c>
      <c r="D69" s="40"/>
      <c r="E69" s="24">
        <v>15944404</v>
      </c>
      <c r="F69" s="40"/>
      <c r="G69" s="24">
        <v>8042562</v>
      </c>
      <c r="H69" s="40"/>
      <c r="I69" s="24">
        <v>9445443</v>
      </c>
      <c r="J69" s="40"/>
      <c r="K69" s="24">
        <f>252644</f>
        <v>252644</v>
      </c>
      <c r="L69" s="40"/>
      <c r="M69" s="24">
        <v>6246317</v>
      </c>
      <c r="N69" s="40"/>
      <c r="O69" s="40">
        <f t="shared" si="2"/>
        <v>6498961</v>
      </c>
      <c r="P69" s="40"/>
      <c r="Q69" s="96">
        <f t="shared" si="3"/>
        <v>0</v>
      </c>
    </row>
    <row r="70" spans="1:17" ht="12.75" customHeight="1">
      <c r="A70" s="23" t="s">
        <v>62</v>
      </c>
      <c r="B70" s="23"/>
      <c r="C70" s="24">
        <v>781818</v>
      </c>
      <c r="D70" s="40"/>
      <c r="E70" s="24">
        <v>2183504</v>
      </c>
      <c r="F70" s="40"/>
      <c r="G70" s="24">
        <v>104298</v>
      </c>
      <c r="H70" s="40"/>
      <c r="I70" s="24">
        <v>1169042</v>
      </c>
      <c r="J70" s="40"/>
      <c r="K70" s="24">
        <f>16767+58225</f>
        <v>74992</v>
      </c>
      <c r="L70" s="40"/>
      <c r="M70" s="24">
        <v>939470</v>
      </c>
      <c r="N70" s="40"/>
      <c r="O70" s="40">
        <f t="shared" si="2"/>
        <v>1014462</v>
      </c>
      <c r="P70" s="40"/>
      <c r="Q70" s="96">
        <f t="shared" si="3"/>
        <v>0</v>
      </c>
    </row>
    <row r="71" spans="1:17" ht="12.75" customHeight="1" hidden="1">
      <c r="A71" s="23" t="s">
        <v>63</v>
      </c>
      <c r="B71" s="23"/>
      <c r="C71" s="24">
        <v>0</v>
      </c>
      <c r="D71" s="40"/>
      <c r="E71" s="24">
        <v>0</v>
      </c>
      <c r="F71" s="40"/>
      <c r="G71" s="24">
        <v>0</v>
      </c>
      <c r="H71" s="40"/>
      <c r="I71" s="24">
        <v>0</v>
      </c>
      <c r="J71" s="40"/>
      <c r="K71" s="24">
        <v>0</v>
      </c>
      <c r="L71" s="40"/>
      <c r="M71" s="24">
        <v>0</v>
      </c>
      <c r="N71" s="40"/>
      <c r="O71" s="40">
        <f t="shared" si="2"/>
        <v>0</v>
      </c>
      <c r="P71" s="40"/>
      <c r="Q71" s="96">
        <f t="shared" si="3"/>
        <v>0</v>
      </c>
    </row>
    <row r="72" spans="1:17" ht="12.75" customHeight="1" hidden="1">
      <c r="A72" s="23" t="s">
        <v>132</v>
      </c>
      <c r="B72" s="23"/>
      <c r="C72" s="24">
        <v>0</v>
      </c>
      <c r="D72" s="40"/>
      <c r="E72" s="24">
        <v>0</v>
      </c>
      <c r="F72" s="40"/>
      <c r="G72" s="24">
        <v>0</v>
      </c>
      <c r="H72" s="40"/>
      <c r="I72" s="24">
        <v>0</v>
      </c>
      <c r="J72" s="40"/>
      <c r="K72" s="24">
        <v>0</v>
      </c>
      <c r="L72" s="40"/>
      <c r="M72" s="24">
        <v>0</v>
      </c>
      <c r="N72" s="40"/>
      <c r="O72" s="40">
        <f t="shared" si="2"/>
        <v>0</v>
      </c>
      <c r="P72" s="40"/>
      <c r="Q72" s="96">
        <f t="shared" si="3"/>
        <v>0</v>
      </c>
    </row>
    <row r="73" spans="1:17" ht="12.75" customHeight="1" hidden="1">
      <c r="A73" s="23" t="s">
        <v>64</v>
      </c>
      <c r="B73" s="23"/>
      <c r="C73" s="24">
        <v>0</v>
      </c>
      <c r="D73" s="40"/>
      <c r="E73" s="24">
        <v>0</v>
      </c>
      <c r="F73" s="40"/>
      <c r="G73" s="24">
        <v>0</v>
      </c>
      <c r="H73" s="40"/>
      <c r="I73" s="24">
        <v>0</v>
      </c>
      <c r="J73" s="40"/>
      <c r="K73" s="24">
        <v>0</v>
      </c>
      <c r="L73" s="40"/>
      <c r="M73" s="24">
        <v>0</v>
      </c>
      <c r="N73" s="40"/>
      <c r="O73" s="40">
        <f t="shared" si="2"/>
        <v>0</v>
      </c>
      <c r="P73" s="40"/>
      <c r="Q73" s="96">
        <f t="shared" si="3"/>
        <v>0</v>
      </c>
    </row>
    <row r="74" spans="1:17" ht="12.75" customHeight="1">
      <c r="A74" s="23" t="s">
        <v>65</v>
      </c>
      <c r="B74" s="23"/>
      <c r="C74" s="24">
        <f>2074706+77551</f>
        <v>2152257</v>
      </c>
      <c r="D74" s="40"/>
      <c r="E74" s="24">
        <v>7134604</v>
      </c>
      <c r="F74" s="40"/>
      <c r="G74" s="24">
        <v>3604101</v>
      </c>
      <c r="H74" s="40"/>
      <c r="I74" s="24">
        <v>4525747</v>
      </c>
      <c r="J74" s="40"/>
      <c r="K74" s="24">
        <v>106741</v>
      </c>
      <c r="L74" s="40"/>
      <c r="M74" s="24">
        <v>2502116</v>
      </c>
      <c r="N74" s="40"/>
      <c r="O74" s="40">
        <f t="shared" si="2"/>
        <v>2608857</v>
      </c>
      <c r="P74" s="40"/>
      <c r="Q74" s="96">
        <f t="shared" si="3"/>
        <v>0</v>
      </c>
    </row>
    <row r="75" spans="1:17" ht="12.75" customHeight="1">
      <c r="A75" s="23" t="s">
        <v>66</v>
      </c>
      <c r="B75" s="23"/>
      <c r="C75" s="24">
        <f>5079272+38714</f>
        <v>5117986</v>
      </c>
      <c r="D75" s="40"/>
      <c r="E75" s="24">
        <v>7872852</v>
      </c>
      <c r="F75" s="40"/>
      <c r="G75" s="24">
        <v>1950755</v>
      </c>
      <c r="H75" s="40"/>
      <c r="I75" s="24">
        <v>2219370</v>
      </c>
      <c r="J75" s="40"/>
      <c r="K75" s="24">
        <v>250195</v>
      </c>
      <c r="L75" s="40"/>
      <c r="M75" s="24">
        <v>5403287</v>
      </c>
      <c r="N75" s="40"/>
      <c r="O75" s="40">
        <f t="shared" si="2"/>
        <v>5653482</v>
      </c>
      <c r="P75" s="40"/>
      <c r="Q75" s="96">
        <f t="shared" si="3"/>
        <v>0</v>
      </c>
    </row>
    <row r="76" spans="1:17" ht="12.75" customHeight="1">
      <c r="A76" s="23" t="s">
        <v>67</v>
      </c>
      <c r="B76" s="23"/>
      <c r="C76" s="24">
        <f>5982182+203732</f>
        <v>6185914</v>
      </c>
      <c r="D76" s="40"/>
      <c r="E76" s="24">
        <v>23926280</v>
      </c>
      <c r="F76" s="40"/>
      <c r="G76" s="24">
        <v>6477049</v>
      </c>
      <c r="H76" s="40"/>
      <c r="I76" s="24">
        <v>8681000</v>
      </c>
      <c r="J76" s="40"/>
      <c r="K76" s="24">
        <f>130325+380033+489580</f>
        <v>999938</v>
      </c>
      <c r="L76" s="40"/>
      <c r="M76" s="24">
        <v>14245342</v>
      </c>
      <c r="N76" s="40"/>
      <c r="O76" s="40">
        <f t="shared" si="2"/>
        <v>15245280</v>
      </c>
      <c r="P76" s="40"/>
      <c r="Q76" s="96">
        <f t="shared" si="3"/>
        <v>0</v>
      </c>
    </row>
    <row r="77" spans="1:17" ht="12.75" customHeight="1">
      <c r="A77" s="23" t="s">
        <v>68</v>
      </c>
      <c r="B77" s="23"/>
      <c r="C77" s="24">
        <f>2833936+154</f>
        <v>2834090</v>
      </c>
      <c r="D77" s="40"/>
      <c r="E77" s="24">
        <v>6409904</v>
      </c>
      <c r="F77" s="40"/>
      <c r="G77" s="24">
        <v>2028573</v>
      </c>
      <c r="H77" s="40"/>
      <c r="I77" s="24">
        <v>2554695</v>
      </c>
      <c r="J77" s="40"/>
      <c r="K77" s="24">
        <v>216134</v>
      </c>
      <c r="L77" s="40"/>
      <c r="M77" s="24">
        <v>3639075</v>
      </c>
      <c r="N77" s="40"/>
      <c r="O77" s="40">
        <f t="shared" si="2"/>
        <v>3855209</v>
      </c>
      <c r="P77" s="40"/>
      <c r="Q77" s="96">
        <f t="shared" si="3"/>
        <v>0</v>
      </c>
    </row>
    <row r="78" spans="1:17" ht="12.75" customHeight="1">
      <c r="A78" s="23"/>
      <c r="B78" s="23"/>
      <c r="C78" s="24"/>
      <c r="D78" s="40"/>
      <c r="E78" s="24"/>
      <c r="F78" s="40"/>
      <c r="G78" s="24"/>
      <c r="H78" s="40"/>
      <c r="I78" s="24"/>
      <c r="J78" s="40"/>
      <c r="K78" s="24"/>
      <c r="L78" s="40"/>
      <c r="M78" s="24"/>
      <c r="N78" s="40"/>
      <c r="O78" s="40"/>
      <c r="P78" s="40"/>
      <c r="Q78" s="96"/>
    </row>
    <row r="79" spans="1:17" ht="12.75" customHeight="1">
      <c r="A79" s="23"/>
      <c r="B79" s="23"/>
      <c r="C79" s="24"/>
      <c r="D79" s="40"/>
      <c r="E79" s="24"/>
      <c r="F79" s="40"/>
      <c r="G79" s="24"/>
      <c r="H79" s="40"/>
      <c r="I79" s="24"/>
      <c r="J79" s="40"/>
      <c r="K79" s="24"/>
      <c r="L79" s="40"/>
      <c r="M79" s="24"/>
      <c r="N79" s="40"/>
      <c r="O79" s="40" t="s">
        <v>249</v>
      </c>
      <c r="P79" s="40"/>
      <c r="Q79" s="96"/>
    </row>
    <row r="80" spans="1:17" ht="12.75" customHeight="1" hidden="1">
      <c r="A80" s="23" t="s">
        <v>176</v>
      </c>
      <c r="B80" s="23"/>
      <c r="C80" s="24">
        <v>0</v>
      </c>
      <c r="D80" s="40"/>
      <c r="E80" s="24">
        <v>0</v>
      </c>
      <c r="F80" s="40"/>
      <c r="G80" s="24">
        <v>0</v>
      </c>
      <c r="H80" s="40"/>
      <c r="I80" s="24">
        <v>0</v>
      </c>
      <c r="J80" s="40"/>
      <c r="K80" s="24">
        <v>0</v>
      </c>
      <c r="L80" s="40"/>
      <c r="M80" s="24">
        <v>0</v>
      </c>
      <c r="N80" s="40"/>
      <c r="O80" s="40">
        <f t="shared" si="2"/>
        <v>0</v>
      </c>
      <c r="P80" s="40"/>
      <c r="Q80" s="96">
        <f t="shared" si="3"/>
        <v>0</v>
      </c>
    </row>
    <row r="81" spans="1:17" ht="12.75" customHeight="1">
      <c r="A81" s="23" t="s">
        <v>178</v>
      </c>
      <c r="B81" s="23"/>
      <c r="C81" s="44">
        <f>1750605+2182</f>
        <v>1752787</v>
      </c>
      <c r="D81" s="61"/>
      <c r="E81" s="44">
        <v>13072348</v>
      </c>
      <c r="F81" s="61"/>
      <c r="G81" s="44">
        <v>9286957</v>
      </c>
      <c r="H81" s="61"/>
      <c r="I81" s="44">
        <v>12649221</v>
      </c>
      <c r="J81" s="61"/>
      <c r="K81" s="44">
        <f>490779+59004+20284</f>
        <v>570067</v>
      </c>
      <c r="L81" s="61"/>
      <c r="M81" s="44">
        <v>-146940</v>
      </c>
      <c r="N81" s="61"/>
      <c r="O81" s="61">
        <f t="shared" si="2"/>
        <v>423127</v>
      </c>
      <c r="P81" s="40"/>
      <c r="Q81" s="96">
        <f t="shared" si="3"/>
        <v>0</v>
      </c>
    </row>
    <row r="82" spans="1:17" ht="12.75" customHeight="1">
      <c r="A82" s="23" t="s">
        <v>69</v>
      </c>
      <c r="B82" s="23"/>
      <c r="C82" s="24">
        <f>2340239+22952</f>
        <v>2363191</v>
      </c>
      <c r="D82" s="40"/>
      <c r="E82" s="24">
        <v>11036901</v>
      </c>
      <c r="F82" s="40"/>
      <c r="G82" s="24">
        <f>2219766+3035067</f>
        <v>5254833</v>
      </c>
      <c r="H82" s="40"/>
      <c r="I82" s="24">
        <v>6163794</v>
      </c>
      <c r="J82" s="40"/>
      <c r="K82" s="24">
        <f>257876+111594+412736</f>
        <v>782206</v>
      </c>
      <c r="L82" s="40"/>
      <c r="M82" s="24">
        <v>4090901</v>
      </c>
      <c r="N82" s="40"/>
      <c r="O82" s="40">
        <f t="shared" si="2"/>
        <v>4873107</v>
      </c>
      <c r="P82" s="40"/>
      <c r="Q82" s="96">
        <f t="shared" si="3"/>
        <v>0</v>
      </c>
    </row>
    <row r="83" spans="1:17" ht="12.75" customHeight="1">
      <c r="A83" s="23" t="s">
        <v>98</v>
      </c>
      <c r="B83" s="23"/>
      <c r="C83" s="24">
        <v>3664806</v>
      </c>
      <c r="D83" s="40"/>
      <c r="E83" s="24">
        <v>8892665</v>
      </c>
      <c r="F83" s="40"/>
      <c r="G83" s="24">
        <f>920584+2179313</f>
        <v>3099897</v>
      </c>
      <c r="H83" s="40"/>
      <c r="I83" s="24">
        <v>3864732</v>
      </c>
      <c r="J83" s="40"/>
      <c r="K83" s="24">
        <f>51636+103546+202616+101281</f>
        <v>459079</v>
      </c>
      <c r="L83" s="40"/>
      <c r="M83" s="24">
        <v>4568854</v>
      </c>
      <c r="N83" s="40"/>
      <c r="O83" s="40">
        <f t="shared" si="2"/>
        <v>5027933</v>
      </c>
      <c r="P83" s="40"/>
      <c r="Q83" s="96">
        <f t="shared" si="3"/>
        <v>0</v>
      </c>
    </row>
    <row r="84" spans="1:17" ht="12.75" customHeight="1">
      <c r="A84" s="23" t="s">
        <v>70</v>
      </c>
      <c r="B84" s="23"/>
      <c r="C84" s="24">
        <v>16314</v>
      </c>
      <c r="D84" s="40"/>
      <c r="E84" s="24">
        <v>5967387</v>
      </c>
      <c r="F84" s="40"/>
      <c r="G84" s="24">
        <v>3577866</v>
      </c>
      <c r="H84" s="40"/>
      <c r="I84" s="24">
        <v>5519369</v>
      </c>
      <c r="J84" s="40"/>
      <c r="K84" s="24">
        <f>326711+268021</f>
        <v>594732</v>
      </c>
      <c r="L84" s="40"/>
      <c r="M84" s="24">
        <v>-146714</v>
      </c>
      <c r="N84" s="40"/>
      <c r="O84" s="40">
        <f t="shared" si="2"/>
        <v>448018</v>
      </c>
      <c r="P84" s="40"/>
      <c r="Q84" s="96">
        <f t="shared" si="3"/>
        <v>0</v>
      </c>
    </row>
    <row r="85" spans="1:17" ht="12.75" customHeight="1">
      <c r="A85" s="23" t="s">
        <v>71</v>
      </c>
      <c r="B85" s="23"/>
      <c r="C85" s="24">
        <f>2495620+123295</f>
        <v>2618915</v>
      </c>
      <c r="D85" s="40"/>
      <c r="E85" s="24">
        <v>6958099</v>
      </c>
      <c r="F85" s="40"/>
      <c r="G85" s="24">
        <f>648564+1339970</f>
        <v>1988534</v>
      </c>
      <c r="H85" s="40"/>
      <c r="I85" s="24">
        <v>2852729</v>
      </c>
      <c r="J85" s="40"/>
      <c r="K85" s="24">
        <f>497600+84453+132505+123295</f>
        <v>837853</v>
      </c>
      <c r="L85" s="40"/>
      <c r="M85" s="24">
        <v>3267517</v>
      </c>
      <c r="N85" s="40"/>
      <c r="O85" s="40">
        <f t="shared" si="2"/>
        <v>4105370</v>
      </c>
      <c r="P85" s="40"/>
      <c r="Q85" s="96">
        <f t="shared" si="3"/>
        <v>0</v>
      </c>
    </row>
    <row r="86" spans="1:17" ht="12.75" customHeight="1">
      <c r="A86" s="23" t="s">
        <v>72</v>
      </c>
      <c r="B86" s="23"/>
      <c r="C86" s="24">
        <f>782083+25968</f>
        <v>808051</v>
      </c>
      <c r="D86" s="40"/>
      <c r="E86" s="24">
        <v>4880819</v>
      </c>
      <c r="F86" s="40"/>
      <c r="G86" s="24">
        <f>3131194</f>
        <v>3131194</v>
      </c>
      <c r="H86" s="40"/>
      <c r="I86" s="24">
        <v>3863995</v>
      </c>
      <c r="J86" s="40"/>
      <c r="K86" s="24">
        <f>5158+6543+22500+10540</f>
        <v>44741</v>
      </c>
      <c r="L86" s="40"/>
      <c r="M86" s="24">
        <f>972083</f>
        <v>972083</v>
      </c>
      <c r="N86" s="40"/>
      <c r="O86" s="40">
        <f t="shared" si="2"/>
        <v>1016824</v>
      </c>
      <c r="P86" s="40"/>
      <c r="Q86" s="96">
        <f t="shared" si="3"/>
        <v>0</v>
      </c>
    </row>
    <row r="87" spans="1:17" ht="12.75" customHeight="1">
      <c r="A87" s="23" t="s">
        <v>73</v>
      </c>
      <c r="B87" s="23"/>
      <c r="C87" s="24">
        <f>16210584+889599</f>
        <v>17100183</v>
      </c>
      <c r="D87" s="40"/>
      <c r="E87" s="24">
        <v>40017760</v>
      </c>
      <c r="F87" s="40"/>
      <c r="G87" s="24">
        <v>19547425</v>
      </c>
      <c r="H87" s="40"/>
      <c r="I87" s="24">
        <v>22053366</v>
      </c>
      <c r="J87" s="40"/>
      <c r="K87" s="24">
        <f>4276266+705177</f>
        <v>4981443</v>
      </c>
      <c r="L87" s="40"/>
      <c r="M87" s="24">
        <v>12982951</v>
      </c>
      <c r="N87" s="40"/>
      <c r="O87" s="40">
        <f t="shared" si="2"/>
        <v>17964394</v>
      </c>
      <c r="P87" s="40"/>
      <c r="Q87" s="96">
        <f t="shared" si="3"/>
        <v>0</v>
      </c>
    </row>
    <row r="88" spans="1:17" ht="12.75" customHeight="1" hidden="1">
      <c r="A88" s="23" t="s">
        <v>74</v>
      </c>
      <c r="B88" s="23"/>
      <c r="C88" s="24">
        <v>0</v>
      </c>
      <c r="D88" s="40"/>
      <c r="E88" s="24">
        <v>0</v>
      </c>
      <c r="F88" s="40"/>
      <c r="G88" s="24">
        <v>0</v>
      </c>
      <c r="H88" s="40"/>
      <c r="I88" s="24">
        <v>0</v>
      </c>
      <c r="J88" s="40"/>
      <c r="K88" s="24">
        <v>0</v>
      </c>
      <c r="L88" s="40"/>
      <c r="M88" s="24">
        <v>0</v>
      </c>
      <c r="N88" s="40"/>
      <c r="O88" s="40">
        <f t="shared" si="2"/>
        <v>0</v>
      </c>
      <c r="P88" s="40"/>
      <c r="Q88" s="96">
        <f t="shared" si="3"/>
        <v>0</v>
      </c>
    </row>
    <row r="89" spans="1:17" ht="12.75" customHeight="1">
      <c r="A89" s="23" t="s">
        <v>75</v>
      </c>
      <c r="B89" s="23"/>
      <c r="C89" s="24">
        <f>7151063+185308+478580</f>
        <v>7814951</v>
      </c>
      <c r="D89" s="40"/>
      <c r="E89" s="24">
        <v>21621362</v>
      </c>
      <c r="F89" s="40"/>
      <c r="G89" s="24">
        <v>104383612</v>
      </c>
      <c r="H89" s="40"/>
      <c r="I89" s="24">
        <v>11800413</v>
      </c>
      <c r="J89" s="40"/>
      <c r="K89" s="24">
        <f>541342+478580</f>
        <v>1019922</v>
      </c>
      <c r="L89" s="40"/>
      <c r="M89" s="24">
        <v>8801027</v>
      </c>
      <c r="N89" s="40"/>
      <c r="O89" s="40">
        <f t="shared" si="2"/>
        <v>9820949</v>
      </c>
      <c r="P89" s="40"/>
      <c r="Q89" s="96">
        <f t="shared" si="3"/>
        <v>0</v>
      </c>
    </row>
    <row r="90" spans="1:17" ht="12.75" customHeight="1">
      <c r="A90" s="23" t="s">
        <v>76</v>
      </c>
      <c r="B90" s="23"/>
      <c r="C90" s="24">
        <v>9848454</v>
      </c>
      <c r="D90" s="40"/>
      <c r="E90" s="24">
        <v>17530448</v>
      </c>
      <c r="F90" s="40"/>
      <c r="G90" s="24">
        <v>5789678</v>
      </c>
      <c r="H90" s="40"/>
      <c r="I90" s="24">
        <v>6309110</v>
      </c>
      <c r="J90" s="40"/>
      <c r="K90" s="24">
        <f>429043+175096+61648</f>
        <v>665787</v>
      </c>
      <c r="L90" s="40"/>
      <c r="M90" s="24">
        <v>10555551</v>
      </c>
      <c r="N90" s="40"/>
      <c r="O90" s="40">
        <f t="shared" si="2"/>
        <v>11221338</v>
      </c>
      <c r="P90" s="40"/>
      <c r="Q90" s="96">
        <f t="shared" si="3"/>
        <v>0</v>
      </c>
    </row>
    <row r="91" spans="1:17" ht="12.75" customHeight="1">
      <c r="A91" s="23" t="s">
        <v>77</v>
      </c>
      <c r="B91" s="23"/>
      <c r="C91" s="24">
        <f>4923746+1063871</f>
        <v>5987617</v>
      </c>
      <c r="D91" s="40"/>
      <c r="E91" s="24">
        <v>13127654</v>
      </c>
      <c r="F91" s="40"/>
      <c r="G91" s="24">
        <f>1638928+3841321</f>
        <v>5480249</v>
      </c>
      <c r="H91" s="40"/>
      <c r="I91" s="24">
        <v>6453217</v>
      </c>
      <c r="J91" s="40"/>
      <c r="K91" s="24">
        <f>323058+21792+490355+28246</f>
        <v>863451</v>
      </c>
      <c r="L91" s="40"/>
      <c r="M91" s="24">
        <f>5810986</f>
        <v>5810986</v>
      </c>
      <c r="N91" s="40"/>
      <c r="O91" s="40">
        <f t="shared" si="2"/>
        <v>6674437</v>
      </c>
      <c r="P91" s="40"/>
      <c r="Q91" s="96">
        <f t="shared" si="3"/>
        <v>0</v>
      </c>
    </row>
    <row r="92" spans="1:17" ht="12.75" customHeight="1">
      <c r="A92" s="23" t="s">
        <v>78</v>
      </c>
      <c r="B92" s="23"/>
      <c r="C92" s="24">
        <f>879309+795</f>
        <v>880104</v>
      </c>
      <c r="D92" s="40"/>
      <c r="E92" s="24">
        <v>3343188</v>
      </c>
      <c r="F92" s="40"/>
      <c r="G92" s="24">
        <v>2015432</v>
      </c>
      <c r="H92" s="40"/>
      <c r="I92" s="24">
        <v>2404480</v>
      </c>
      <c r="J92" s="40"/>
      <c r="K92" s="24">
        <f>40206+17829</f>
        <v>58035</v>
      </c>
      <c r="L92" s="40"/>
      <c r="M92" s="24">
        <v>880673</v>
      </c>
      <c r="N92" s="40"/>
      <c r="O92" s="40">
        <f t="shared" si="2"/>
        <v>938708</v>
      </c>
      <c r="P92" s="40"/>
      <c r="Q92" s="96">
        <f t="shared" si="3"/>
        <v>0</v>
      </c>
    </row>
    <row r="93" spans="1:17" ht="12.75" customHeight="1" hidden="1">
      <c r="A93" s="23" t="s">
        <v>79</v>
      </c>
      <c r="B93" s="23"/>
      <c r="C93" s="24">
        <v>0</v>
      </c>
      <c r="D93" s="40"/>
      <c r="E93" s="24">
        <v>0</v>
      </c>
      <c r="F93" s="40"/>
      <c r="G93" s="24">
        <v>0</v>
      </c>
      <c r="H93" s="40"/>
      <c r="I93" s="24">
        <v>0</v>
      </c>
      <c r="J93" s="40"/>
      <c r="K93" s="24">
        <v>0</v>
      </c>
      <c r="L93" s="40"/>
      <c r="M93" s="24">
        <v>0</v>
      </c>
      <c r="N93" s="40"/>
      <c r="O93" s="40">
        <f t="shared" si="2"/>
        <v>0</v>
      </c>
      <c r="P93" s="40"/>
      <c r="Q93" s="96">
        <f t="shared" si="3"/>
        <v>0</v>
      </c>
    </row>
    <row r="94" spans="1:17" ht="12.75" customHeight="1">
      <c r="A94" s="23" t="s">
        <v>80</v>
      </c>
      <c r="B94" s="23"/>
      <c r="C94" s="24">
        <v>23869535</v>
      </c>
      <c r="D94" s="40"/>
      <c r="E94" s="24">
        <v>45567437</v>
      </c>
      <c r="F94" s="40"/>
      <c r="G94" s="24">
        <v>16271786</v>
      </c>
      <c r="H94" s="40"/>
      <c r="I94" s="24">
        <v>18704138</v>
      </c>
      <c r="J94" s="40"/>
      <c r="K94" s="24">
        <f>1606730+237142+11596+96000</f>
        <v>1951468</v>
      </c>
      <c r="L94" s="40"/>
      <c r="M94" s="24">
        <v>24911831</v>
      </c>
      <c r="N94" s="40"/>
      <c r="O94" s="40">
        <f aca="true" t="shared" si="4" ref="O94:O99">+M94+K94</f>
        <v>26863299</v>
      </c>
      <c r="P94" s="40"/>
      <c r="Q94" s="96">
        <f aca="true" t="shared" si="5" ref="Q94:Q99">+E94-I94-O94</f>
        <v>0</v>
      </c>
    </row>
    <row r="95" spans="1:17" ht="12.75" customHeight="1">
      <c r="A95" s="23" t="s">
        <v>81</v>
      </c>
      <c r="B95" s="23"/>
      <c r="C95" s="24">
        <f>7653070+16628</f>
        <v>7669698</v>
      </c>
      <c r="D95" s="40"/>
      <c r="E95" s="24">
        <v>13697000</v>
      </c>
      <c r="F95" s="40"/>
      <c r="G95" s="24">
        <v>3847660</v>
      </c>
      <c r="H95" s="40"/>
      <c r="I95" s="24">
        <v>4542006</v>
      </c>
      <c r="J95" s="40"/>
      <c r="K95" s="24">
        <f>535168+57629</f>
        <v>592797</v>
      </c>
      <c r="L95" s="40"/>
      <c r="M95" s="24">
        <v>8562197</v>
      </c>
      <c r="N95" s="40"/>
      <c r="O95" s="40">
        <f t="shared" si="4"/>
        <v>9154994</v>
      </c>
      <c r="P95" s="40"/>
      <c r="Q95" s="96">
        <f t="shared" si="5"/>
        <v>0</v>
      </c>
    </row>
    <row r="96" spans="1:17" ht="12.75" customHeight="1">
      <c r="A96" s="23" t="s">
        <v>82</v>
      </c>
      <c r="B96" s="23"/>
      <c r="C96" s="24">
        <f>4527884+106072</f>
        <v>4633956</v>
      </c>
      <c r="D96" s="40"/>
      <c r="E96" s="24">
        <v>13446710</v>
      </c>
      <c r="F96" s="40"/>
      <c r="G96" s="24">
        <v>5793078</v>
      </c>
      <c r="H96" s="40"/>
      <c r="I96" s="24">
        <v>6727836</v>
      </c>
      <c r="J96" s="40"/>
      <c r="K96" s="24">
        <f>146927+86170+393318</f>
        <v>626415</v>
      </c>
      <c r="L96" s="40"/>
      <c r="M96" s="24">
        <f>400000+5692459</f>
        <v>6092459</v>
      </c>
      <c r="N96" s="40"/>
      <c r="O96" s="40">
        <f t="shared" si="4"/>
        <v>6718874</v>
      </c>
      <c r="P96" s="40"/>
      <c r="Q96" s="96">
        <f t="shared" si="5"/>
        <v>0</v>
      </c>
    </row>
    <row r="97" spans="1:17" ht="12.75" customHeight="1" hidden="1">
      <c r="A97" s="23" t="s">
        <v>174</v>
      </c>
      <c r="B97" s="23"/>
      <c r="C97" s="24">
        <v>0</v>
      </c>
      <c r="D97" s="40"/>
      <c r="E97" s="24">
        <v>0</v>
      </c>
      <c r="F97" s="40"/>
      <c r="G97" s="24">
        <v>0</v>
      </c>
      <c r="H97" s="40"/>
      <c r="I97" s="24">
        <v>0</v>
      </c>
      <c r="J97" s="40"/>
      <c r="K97" s="24">
        <v>0</v>
      </c>
      <c r="L97" s="40"/>
      <c r="M97" s="24">
        <v>0</v>
      </c>
      <c r="N97" s="40"/>
      <c r="O97" s="40">
        <f t="shared" si="4"/>
        <v>0</v>
      </c>
      <c r="P97" s="40"/>
      <c r="Q97" s="96">
        <f t="shared" si="5"/>
        <v>0</v>
      </c>
    </row>
    <row r="98" spans="1:17" ht="12.75" customHeight="1">
      <c r="A98" s="23" t="s">
        <v>83</v>
      </c>
      <c r="B98" s="23"/>
      <c r="C98" s="24">
        <f>15145739+20637</f>
        <v>15166376</v>
      </c>
      <c r="D98" s="40"/>
      <c r="E98" s="24">
        <v>30137067</v>
      </c>
      <c r="F98" s="40"/>
      <c r="G98" s="24">
        <v>10937676</v>
      </c>
      <c r="H98" s="40"/>
      <c r="I98" s="24">
        <v>12570501</v>
      </c>
      <c r="J98" s="40"/>
      <c r="K98" s="24">
        <f>2043465+238605+2009846</f>
        <v>4291916</v>
      </c>
      <c r="L98" s="40"/>
      <c r="M98" s="24">
        <f>13274650</f>
        <v>13274650</v>
      </c>
      <c r="N98" s="40"/>
      <c r="O98" s="40">
        <f t="shared" si="4"/>
        <v>17566566</v>
      </c>
      <c r="P98" s="40"/>
      <c r="Q98" s="96">
        <f t="shared" si="5"/>
        <v>0</v>
      </c>
    </row>
    <row r="99" spans="1:17" ht="12.75" customHeight="1" hidden="1">
      <c r="A99" s="23" t="s">
        <v>175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40">
        <f t="shared" si="4"/>
        <v>0</v>
      </c>
      <c r="P99" s="24"/>
      <c r="Q99" s="96">
        <f t="shared" si="5"/>
        <v>0</v>
      </c>
    </row>
    <row r="100" spans="1:17" ht="12.7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96"/>
    </row>
    <row r="101" spans="1:16" ht="12.7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33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sheetProtection/>
  <printOptions/>
  <pageMargins left="0.75" right="0.75" top="0.5" bottom="0.5" header="0" footer="0.25"/>
  <pageSetup firstPageNumber="16" useFirstPageNumber="1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79" max="14" man="1"/>
  </rowBreaks>
  <colBreaks count="1" manualBreakCount="1">
    <brk id="12" min="8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101"/>
  <sheetViews>
    <sheetView zoomScale="130" zoomScaleNormal="13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J90" sqref="J90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2.7109375" style="25" customWidth="1"/>
    <col min="4" max="4" width="1.7109375" style="25" customWidth="1"/>
    <col min="5" max="5" width="12.7109375" style="25" customWidth="1"/>
    <col min="6" max="6" width="1.7109375" style="25" customWidth="1"/>
    <col min="7" max="7" width="12.7109375" style="25" customWidth="1"/>
    <col min="8" max="8" width="1.7109375" style="25" customWidth="1"/>
    <col min="9" max="9" width="12.7109375" style="25" customWidth="1"/>
    <col min="10" max="10" width="1.7109375" style="25" customWidth="1"/>
    <col min="11" max="11" width="12.7109375" style="25" customWidth="1"/>
    <col min="12" max="12" width="1.7109375" style="25" customWidth="1"/>
    <col min="13" max="13" width="12.7109375" style="25" customWidth="1"/>
    <col min="14" max="14" width="1.7109375" style="25" customWidth="1"/>
    <col min="15" max="15" width="12.7109375" style="25" customWidth="1"/>
    <col min="16" max="16" width="9.28125" style="26" bestFit="1" customWidth="1"/>
    <col min="18" max="20" width="9.140625" style="26" customWidth="1"/>
    <col min="21" max="21" width="17.7109375" style="97" bestFit="1" customWidth="1"/>
    <col min="22" max="16384" width="9.140625" style="26" customWidth="1"/>
  </cols>
  <sheetData>
    <row r="1" spans="1:16" ht="12.75" customHeight="1">
      <c r="A1" s="57" t="s">
        <v>234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</row>
    <row r="2" spans="1:16" ht="12.75" customHeight="1">
      <c r="A2" s="57" t="s">
        <v>254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2.75" customHeight="1">
      <c r="A3" s="49" t="s">
        <v>249</v>
      </c>
      <c r="B3" s="5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9"/>
    </row>
    <row r="4" spans="1:16" ht="12.75" customHeight="1">
      <c r="A4" s="49" t="s">
        <v>184</v>
      </c>
      <c r="B4" s="19"/>
      <c r="C4" s="21"/>
      <c r="D4" s="21"/>
      <c r="E4" s="21"/>
      <c r="F4" s="21"/>
      <c r="G4" s="21"/>
      <c r="H4" s="21"/>
      <c r="I4" s="21"/>
      <c r="J4" s="21"/>
      <c r="P4" s="36"/>
    </row>
    <row r="5" spans="1:16" ht="12.75" customHeight="1">
      <c r="A5" s="49"/>
      <c r="B5" s="19"/>
      <c r="C5" s="21"/>
      <c r="D5" s="21"/>
      <c r="E5" s="21"/>
      <c r="F5" s="21"/>
      <c r="G5" s="21"/>
      <c r="H5" s="21"/>
      <c r="I5" s="21"/>
      <c r="J5" s="21"/>
      <c r="P5" s="36"/>
    </row>
    <row r="6" spans="1:16" ht="12.75" customHeight="1">
      <c r="A6" s="49"/>
      <c r="B6" s="19"/>
      <c r="C6" s="21"/>
      <c r="D6" s="21"/>
      <c r="E6" s="21"/>
      <c r="F6" s="21"/>
      <c r="G6" s="21"/>
      <c r="H6" s="21"/>
      <c r="I6" s="21"/>
      <c r="J6" s="21"/>
      <c r="K6" s="21" t="s">
        <v>117</v>
      </c>
      <c r="L6" s="21"/>
      <c r="M6" s="21" t="s">
        <v>235</v>
      </c>
      <c r="N6" s="21"/>
      <c r="O6" s="21" t="s">
        <v>4</v>
      </c>
      <c r="P6" s="36"/>
    </row>
    <row r="7" spans="1:21" ht="12.75" customHeight="1">
      <c r="A7" s="19"/>
      <c r="B7" s="19"/>
      <c r="C7" s="21" t="s">
        <v>118</v>
      </c>
      <c r="D7" s="21"/>
      <c r="E7" s="21" t="s">
        <v>4</v>
      </c>
      <c r="F7" s="21"/>
      <c r="G7" s="21" t="s">
        <v>119</v>
      </c>
      <c r="H7" s="21"/>
      <c r="I7" s="21" t="s">
        <v>4</v>
      </c>
      <c r="J7" s="21"/>
      <c r="K7" s="21" t="s">
        <v>120</v>
      </c>
      <c r="L7" s="21"/>
      <c r="M7" s="21" t="s">
        <v>120</v>
      </c>
      <c r="N7" s="21"/>
      <c r="O7" s="21" t="s">
        <v>120</v>
      </c>
      <c r="P7" s="36"/>
      <c r="U7" s="28" t="s">
        <v>206</v>
      </c>
    </row>
    <row r="8" spans="1:21" s="60" customFormat="1" ht="12.75" customHeight="1">
      <c r="A8" s="22" t="s">
        <v>5</v>
      </c>
      <c r="B8" s="19"/>
      <c r="C8" s="20" t="s">
        <v>121</v>
      </c>
      <c r="D8" s="21"/>
      <c r="E8" s="20" t="s">
        <v>116</v>
      </c>
      <c r="F8" s="21"/>
      <c r="G8" s="20" t="s">
        <v>11</v>
      </c>
      <c r="H8" s="21"/>
      <c r="I8" s="20" t="s">
        <v>122</v>
      </c>
      <c r="J8" s="21"/>
      <c r="K8" s="20" t="s">
        <v>123</v>
      </c>
      <c r="L8" s="21"/>
      <c r="M8" s="20" t="s">
        <v>123</v>
      </c>
      <c r="N8" s="21"/>
      <c r="O8" s="20" t="s">
        <v>123</v>
      </c>
      <c r="P8" s="36"/>
      <c r="U8" s="98"/>
    </row>
    <row r="9" spans="1:21" s="60" customFormat="1" ht="12.75" customHeight="1">
      <c r="A9" s="1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6"/>
      <c r="U9" s="98"/>
    </row>
    <row r="10" spans="1:21" ht="12.75" customHeight="1" hidden="1">
      <c r="A10" s="89" t="s">
        <v>237</v>
      </c>
      <c r="B10" s="19"/>
      <c r="C10" s="61">
        <v>10385313</v>
      </c>
      <c r="D10" s="61"/>
      <c r="E10" s="61">
        <v>10385313</v>
      </c>
      <c r="F10" s="61"/>
      <c r="G10" s="61">
        <v>0</v>
      </c>
      <c r="H10" s="61"/>
      <c r="I10" s="61">
        <v>0</v>
      </c>
      <c r="J10" s="61"/>
      <c r="K10" s="61">
        <v>980463</v>
      </c>
      <c r="L10" s="61"/>
      <c r="M10" s="61">
        <f>10385313-980463</f>
        <v>9404850</v>
      </c>
      <c r="N10" s="61"/>
      <c r="O10" s="61">
        <f>+M10+K10</f>
        <v>10385313</v>
      </c>
      <c r="P10" s="40"/>
      <c r="U10" s="96">
        <f aca="true" t="shared" si="0" ref="U10:U41">+E10-I10-O10</f>
        <v>0</v>
      </c>
    </row>
    <row r="11" spans="1:21" ht="12.75" customHeight="1">
      <c r="A11" s="23" t="s">
        <v>13</v>
      </c>
      <c r="B11" s="23"/>
      <c r="C11" s="61">
        <f>37094224+439468+60627</f>
        <v>37594319</v>
      </c>
      <c r="D11" s="61"/>
      <c r="E11" s="61">
        <v>69385155</v>
      </c>
      <c r="F11" s="61"/>
      <c r="G11" s="61">
        <v>25042170</v>
      </c>
      <c r="H11" s="61"/>
      <c r="I11" s="61">
        <v>29910383</v>
      </c>
      <c r="J11" s="61"/>
      <c r="K11" s="61">
        <f>2238426+4634270+244706+1266980</f>
        <v>8384382</v>
      </c>
      <c r="L11" s="61"/>
      <c r="M11" s="61">
        <f>4393288+23034570+1855113+1807419</f>
        <v>31090390</v>
      </c>
      <c r="N11" s="61"/>
      <c r="O11" s="61">
        <f>+M11+K11</f>
        <v>39474772</v>
      </c>
      <c r="P11" s="40"/>
      <c r="U11" s="96">
        <f t="shared" si="0"/>
        <v>0</v>
      </c>
    </row>
    <row r="12" spans="1:21" ht="12.75" customHeight="1">
      <c r="A12" s="23" t="s">
        <v>14</v>
      </c>
      <c r="B12" s="23"/>
      <c r="C12" s="40">
        <f>16195314+54446</f>
        <v>16249760</v>
      </c>
      <c r="D12" s="40"/>
      <c r="E12" s="40">
        <v>30250798</v>
      </c>
      <c r="F12" s="40"/>
      <c r="G12" s="40">
        <v>11438834</v>
      </c>
      <c r="H12" s="40"/>
      <c r="I12" s="40">
        <v>13091286</v>
      </c>
      <c r="J12" s="40"/>
      <c r="K12" s="40">
        <f>17159512-1870960</f>
        <v>15288552</v>
      </c>
      <c r="L12" s="40"/>
      <c r="M12" s="40">
        <v>1870960</v>
      </c>
      <c r="N12" s="40"/>
      <c r="O12" s="40">
        <f aca="true" t="shared" si="1" ref="O12:O28">+M12+K12</f>
        <v>17159512</v>
      </c>
      <c r="P12" s="40"/>
      <c r="U12" s="96">
        <f t="shared" si="0"/>
        <v>0</v>
      </c>
    </row>
    <row r="13" spans="1:21" ht="12.75" customHeight="1">
      <c r="A13" s="23" t="s">
        <v>15</v>
      </c>
      <c r="B13" s="23"/>
      <c r="C13" s="40">
        <f>35645707+633623+1524865</f>
        <v>37804195</v>
      </c>
      <c r="D13" s="40"/>
      <c r="E13" s="40">
        <v>65246085</v>
      </c>
      <c r="F13" s="40"/>
      <c r="G13" s="40">
        <v>20309188</v>
      </c>
      <c r="H13" s="40"/>
      <c r="I13" s="40">
        <v>27031106</v>
      </c>
      <c r="J13" s="40"/>
      <c r="K13" s="40">
        <f>1335484+90000+2127026</f>
        <v>3552510</v>
      </c>
      <c r="L13" s="40"/>
      <c r="M13" s="40">
        <f>3913353+26702858+393365+3652893</f>
        <v>34662469</v>
      </c>
      <c r="N13" s="40"/>
      <c r="O13" s="40">
        <f>+M13+K13</f>
        <v>38214979</v>
      </c>
      <c r="P13" s="40"/>
      <c r="U13" s="96">
        <f t="shared" si="0"/>
        <v>0</v>
      </c>
    </row>
    <row r="14" spans="1:21" ht="12.75" customHeight="1">
      <c r="A14" s="23" t="s">
        <v>16</v>
      </c>
      <c r="B14" s="23"/>
      <c r="C14" s="40">
        <f>19618756+68200</f>
        <v>19686956</v>
      </c>
      <c r="D14" s="40"/>
      <c r="E14" s="40">
        <v>37869171</v>
      </c>
      <c r="F14" s="40"/>
      <c r="G14" s="40">
        <v>14206147</v>
      </c>
      <c r="H14" s="40"/>
      <c r="I14" s="40">
        <v>17020524</v>
      </c>
      <c r="J14" s="40"/>
      <c r="K14" s="40">
        <f>423258+14766</f>
        <v>438024</v>
      </c>
      <c r="L14" s="40"/>
      <c r="M14" s="40">
        <f>2260124+17759331+7276+383892</f>
        <v>20410623</v>
      </c>
      <c r="N14" s="40"/>
      <c r="O14" s="40">
        <f t="shared" si="1"/>
        <v>20848647</v>
      </c>
      <c r="P14" s="40"/>
      <c r="U14" s="96">
        <f t="shared" si="0"/>
        <v>0</v>
      </c>
    </row>
    <row r="15" spans="1:21" ht="12.75" customHeight="1">
      <c r="A15" s="23" t="s">
        <v>17</v>
      </c>
      <c r="B15" s="23"/>
      <c r="C15" s="40">
        <f>21155547+2685244</f>
        <v>23840791</v>
      </c>
      <c r="D15" s="40"/>
      <c r="E15" s="40">
        <v>41564570</v>
      </c>
      <c r="F15" s="40"/>
      <c r="G15" s="40">
        <v>10274227</v>
      </c>
      <c r="H15" s="40"/>
      <c r="I15" s="40">
        <v>14087466</v>
      </c>
      <c r="J15" s="40"/>
      <c r="K15" s="40">
        <f>590510+772874+2695269</f>
        <v>4058653</v>
      </c>
      <c r="L15" s="40"/>
      <c r="M15" s="40">
        <f>27477104-590510-772874-2695269</f>
        <v>23418451</v>
      </c>
      <c r="N15" s="40"/>
      <c r="O15" s="40">
        <f t="shared" si="1"/>
        <v>27477104</v>
      </c>
      <c r="P15" s="40"/>
      <c r="U15" s="96">
        <f t="shared" si="0"/>
        <v>0</v>
      </c>
    </row>
    <row r="16" spans="1:21" ht="12.75" customHeight="1">
      <c r="A16" s="23" t="s">
        <v>18</v>
      </c>
      <c r="B16" s="23"/>
      <c r="C16" s="40">
        <f>27287138+34308</f>
        <v>27321446</v>
      </c>
      <c r="D16" s="40"/>
      <c r="E16" s="40">
        <v>51180965</v>
      </c>
      <c r="F16" s="40"/>
      <c r="G16" s="40">
        <v>16489583</v>
      </c>
      <c r="H16" s="40"/>
      <c r="I16" s="40">
        <v>19252057</v>
      </c>
      <c r="J16" s="40"/>
      <c r="K16" s="40">
        <f>5065866+1073732+59301+491638</f>
        <v>6690537</v>
      </c>
      <c r="L16" s="40"/>
      <c r="M16" s="40">
        <f>183309+2895579+18995618+402583+2761282</f>
        <v>25238371</v>
      </c>
      <c r="N16" s="40"/>
      <c r="O16" s="40">
        <f t="shared" si="1"/>
        <v>31928908</v>
      </c>
      <c r="P16" s="40"/>
      <c r="U16" s="96">
        <f t="shared" si="0"/>
        <v>0</v>
      </c>
    </row>
    <row r="17" spans="1:21" ht="12.75" customHeight="1" hidden="1">
      <c r="A17" s="23" t="s">
        <v>240</v>
      </c>
      <c r="B17" s="23"/>
      <c r="C17" s="40">
        <v>0</v>
      </c>
      <c r="D17" s="40"/>
      <c r="E17" s="40">
        <v>0</v>
      </c>
      <c r="F17" s="40"/>
      <c r="G17" s="40">
        <v>0</v>
      </c>
      <c r="H17" s="40"/>
      <c r="I17" s="40">
        <v>0</v>
      </c>
      <c r="J17" s="40"/>
      <c r="K17" s="40">
        <v>0</v>
      </c>
      <c r="L17" s="40"/>
      <c r="M17" s="40">
        <v>0</v>
      </c>
      <c r="N17" s="40"/>
      <c r="O17" s="40">
        <f t="shared" si="1"/>
        <v>0</v>
      </c>
      <c r="P17" s="40"/>
      <c r="U17" s="96">
        <f t="shared" si="0"/>
        <v>0</v>
      </c>
    </row>
    <row r="18" spans="1:21" ht="12.75" customHeight="1" hidden="1">
      <c r="A18" s="23" t="s">
        <v>248</v>
      </c>
      <c r="B18" s="23"/>
      <c r="C18" s="40">
        <v>0</v>
      </c>
      <c r="D18" s="40"/>
      <c r="E18" s="40">
        <v>0</v>
      </c>
      <c r="F18" s="40"/>
      <c r="G18" s="40">
        <v>0</v>
      </c>
      <c r="H18" s="40"/>
      <c r="I18" s="40">
        <v>0</v>
      </c>
      <c r="J18" s="40"/>
      <c r="K18" s="40">
        <v>0</v>
      </c>
      <c r="L18" s="40"/>
      <c r="M18" s="40">
        <v>0</v>
      </c>
      <c r="N18" s="40"/>
      <c r="O18" s="40">
        <f t="shared" si="1"/>
        <v>0</v>
      </c>
      <c r="P18" s="40"/>
      <c r="U18" s="96">
        <f t="shared" si="0"/>
        <v>0</v>
      </c>
    </row>
    <row r="19" spans="1:21" ht="12.75" customHeight="1">
      <c r="A19" s="23" t="s">
        <v>20</v>
      </c>
      <c r="B19" s="23"/>
      <c r="C19" s="40">
        <f>8245187+100545</f>
        <v>8345732</v>
      </c>
      <c r="D19" s="40"/>
      <c r="E19" s="40">
        <v>17076753</v>
      </c>
      <c r="F19" s="40"/>
      <c r="G19" s="40">
        <f>2123354+4130000</f>
        <v>6253354</v>
      </c>
      <c r="H19" s="40"/>
      <c r="I19" s="40">
        <v>7634880</v>
      </c>
      <c r="J19" s="40"/>
      <c r="K19" s="40">
        <f>712695+100632+444715+50000</f>
        <v>1308042</v>
      </c>
      <c r="L19" s="40"/>
      <c r="M19" s="40">
        <f>823638+7457362-147169</f>
        <v>8133831</v>
      </c>
      <c r="N19" s="40"/>
      <c r="O19" s="40">
        <f t="shared" si="1"/>
        <v>9441873</v>
      </c>
      <c r="P19" s="40"/>
      <c r="U19" s="96">
        <f t="shared" si="0"/>
        <v>0</v>
      </c>
    </row>
    <row r="20" spans="1:21" ht="12.75" customHeight="1" hidden="1">
      <c r="A20" s="23" t="s">
        <v>172</v>
      </c>
      <c r="B20" s="23"/>
      <c r="C20" s="40">
        <v>0</v>
      </c>
      <c r="D20" s="40"/>
      <c r="E20" s="40">
        <v>0</v>
      </c>
      <c r="F20" s="40"/>
      <c r="G20" s="40">
        <v>0</v>
      </c>
      <c r="H20" s="40"/>
      <c r="I20" s="40">
        <v>0</v>
      </c>
      <c r="J20" s="40"/>
      <c r="K20" s="40">
        <v>0</v>
      </c>
      <c r="L20" s="40"/>
      <c r="M20" s="40">
        <v>0</v>
      </c>
      <c r="N20" s="40"/>
      <c r="O20" s="40">
        <f t="shared" si="1"/>
        <v>0</v>
      </c>
      <c r="P20" s="40"/>
      <c r="U20" s="96">
        <f t="shared" si="0"/>
        <v>0</v>
      </c>
    </row>
    <row r="21" spans="1:21" ht="12.75" customHeight="1">
      <c r="A21" s="23" t="s">
        <v>21</v>
      </c>
      <c r="B21" s="23"/>
      <c r="C21" s="40">
        <f>32967322+386471+44995</f>
        <v>33398788</v>
      </c>
      <c r="D21" s="40"/>
      <c r="E21" s="40">
        <v>94765907</v>
      </c>
      <c r="F21" s="40"/>
      <c r="G21" s="40">
        <v>49676354</v>
      </c>
      <c r="H21" s="40"/>
      <c r="I21" s="40">
        <v>57816983</v>
      </c>
      <c r="J21" s="40"/>
      <c r="K21" s="40">
        <f>5840231+270409+349772+74787</f>
        <v>6535199</v>
      </c>
      <c r="L21" s="40"/>
      <c r="M21" s="40">
        <f>7429044+23964674+30846-1060827+49988</f>
        <v>30413725</v>
      </c>
      <c r="N21" s="40"/>
      <c r="O21" s="40">
        <f t="shared" si="1"/>
        <v>36948924</v>
      </c>
      <c r="P21" s="40"/>
      <c r="U21" s="96">
        <f t="shared" si="0"/>
        <v>0</v>
      </c>
    </row>
    <row r="22" spans="1:21" ht="12.75" customHeight="1">
      <c r="A22" s="23" t="s">
        <v>181</v>
      </c>
      <c r="B22" s="23"/>
      <c r="C22" s="40">
        <f>52816018+2011</f>
        <v>52818029</v>
      </c>
      <c r="D22" s="40"/>
      <c r="E22" s="40">
        <v>110869719</v>
      </c>
      <c r="F22" s="40"/>
      <c r="G22" s="40">
        <v>51827881</v>
      </c>
      <c r="H22" s="40"/>
      <c r="I22" s="40">
        <v>58929154</v>
      </c>
      <c r="J22" s="40"/>
      <c r="K22" s="40">
        <f>6014081+321394+1984000+2300000</f>
        <v>10619475</v>
      </c>
      <c r="L22" s="40"/>
      <c r="M22" s="40">
        <f>11597302+20784677+143618+8795493</f>
        <v>41321090</v>
      </c>
      <c r="N22" s="40"/>
      <c r="O22" s="40">
        <f t="shared" si="1"/>
        <v>51940565</v>
      </c>
      <c r="P22" s="40"/>
      <c r="U22" s="96">
        <f t="shared" si="0"/>
        <v>0</v>
      </c>
    </row>
    <row r="23" spans="1:21" ht="12.75" customHeight="1">
      <c r="A23" s="23" t="s">
        <v>22</v>
      </c>
      <c r="B23" s="23"/>
      <c r="C23" s="40">
        <f>27351704+15000000+524904</f>
        <v>42876608</v>
      </c>
      <c r="D23" s="40"/>
      <c r="E23" s="40">
        <v>73867801</v>
      </c>
      <c r="F23" s="40"/>
      <c r="G23" s="40">
        <f>21563603+6062820</f>
        <v>27626423</v>
      </c>
      <c r="H23" s="40"/>
      <c r="I23" s="40">
        <v>29731426</v>
      </c>
      <c r="J23" s="40"/>
      <c r="K23" s="40">
        <f>954149+90888+81809+423353</f>
        <v>1550199</v>
      </c>
      <c r="L23" s="40"/>
      <c r="M23" s="40">
        <f>16644145+13292140+9587130+3062761</f>
        <v>42586176</v>
      </c>
      <c r="N23" s="40"/>
      <c r="O23" s="40">
        <f>+M23+K23</f>
        <v>44136375</v>
      </c>
      <c r="P23" s="40"/>
      <c r="U23" s="96">
        <f t="shared" si="0"/>
        <v>0</v>
      </c>
    </row>
    <row r="24" spans="1:21" ht="12.75" customHeight="1" hidden="1">
      <c r="A24" s="23" t="s">
        <v>23</v>
      </c>
      <c r="B24" s="23"/>
      <c r="C24" s="40">
        <v>0</v>
      </c>
      <c r="D24" s="40"/>
      <c r="E24" s="40">
        <v>0</v>
      </c>
      <c r="F24" s="40"/>
      <c r="G24" s="40">
        <v>0</v>
      </c>
      <c r="H24" s="40"/>
      <c r="I24" s="40">
        <v>0</v>
      </c>
      <c r="J24" s="40"/>
      <c r="K24" s="40">
        <v>0</v>
      </c>
      <c r="L24" s="40"/>
      <c r="M24" s="40">
        <v>0</v>
      </c>
      <c r="N24" s="40"/>
      <c r="O24" s="40">
        <f t="shared" si="1"/>
        <v>0</v>
      </c>
      <c r="P24" s="40"/>
      <c r="U24" s="96">
        <f t="shared" si="0"/>
        <v>0</v>
      </c>
    </row>
    <row r="25" spans="1:21" ht="12.75" customHeight="1">
      <c r="A25" s="23" t="s">
        <v>24</v>
      </c>
      <c r="B25" s="23"/>
      <c r="C25" s="40">
        <f>11537542+1646340</f>
        <v>13183882</v>
      </c>
      <c r="D25" s="40"/>
      <c r="E25" s="40">
        <v>25041027</v>
      </c>
      <c r="F25" s="40"/>
      <c r="G25" s="40">
        <f>3958254+6157302</f>
        <v>10115556</v>
      </c>
      <c r="H25" s="40"/>
      <c r="I25" s="40">
        <v>11773582</v>
      </c>
      <c r="J25" s="40"/>
      <c r="K25" s="40">
        <f>2010908+96509+207928+61818</f>
        <v>2377163</v>
      </c>
      <c r="L25" s="40"/>
      <c r="M25" s="40">
        <f>1600858+8990393+299031</f>
        <v>10890282</v>
      </c>
      <c r="N25" s="40"/>
      <c r="O25" s="40">
        <f t="shared" si="1"/>
        <v>13267445</v>
      </c>
      <c r="P25" s="40"/>
      <c r="U25" s="96">
        <f t="shared" si="0"/>
        <v>0</v>
      </c>
    </row>
    <row r="26" spans="1:21" ht="12.75" customHeight="1">
      <c r="A26" s="23" t="s">
        <v>243</v>
      </c>
      <c r="B26" s="23"/>
      <c r="C26" s="40">
        <f>16534027+98834+575871</f>
        <v>17208732</v>
      </c>
      <c r="D26" s="40"/>
      <c r="E26" s="40">
        <v>33909990</v>
      </c>
      <c r="F26" s="40"/>
      <c r="G26" s="40">
        <v>14293422</v>
      </c>
      <c r="H26" s="40"/>
      <c r="I26" s="40">
        <v>17051273</v>
      </c>
      <c r="J26" s="40"/>
      <c r="K26" s="40">
        <f>16858717-2119238</f>
        <v>14739479</v>
      </c>
      <c r="L26" s="40"/>
      <c r="M26" s="40">
        <v>2119238</v>
      </c>
      <c r="N26" s="40"/>
      <c r="O26" s="40">
        <f t="shared" si="1"/>
        <v>16858717</v>
      </c>
      <c r="P26" s="40"/>
      <c r="U26" s="96">
        <f t="shared" si="0"/>
        <v>0</v>
      </c>
    </row>
    <row r="27" spans="1:21" ht="12.75" customHeight="1">
      <c r="A27" s="23" t="s">
        <v>25</v>
      </c>
      <c r="B27" s="23"/>
      <c r="C27" s="40">
        <f>462077*1000</f>
        <v>462077000</v>
      </c>
      <c r="D27" s="40"/>
      <c r="E27" s="40">
        <f>1144129*1000</f>
        <v>1144129000</v>
      </c>
      <c r="F27" s="40"/>
      <c r="G27" s="40">
        <f>408174*1000</f>
        <v>408174000</v>
      </c>
      <c r="H27" s="40"/>
      <c r="I27" s="40">
        <f>597440*1000</f>
        <v>597440000</v>
      </c>
      <c r="J27" s="40"/>
      <c r="K27" s="40">
        <f>(30830+48024+36133)*1000</f>
        <v>114987000</v>
      </c>
      <c r="L27" s="40"/>
      <c r="M27" s="40">
        <f>(964+211007+251272-31541)*1000</f>
        <v>431702000</v>
      </c>
      <c r="N27" s="40"/>
      <c r="O27" s="40">
        <f t="shared" si="1"/>
        <v>546689000</v>
      </c>
      <c r="P27" s="40"/>
      <c r="U27" s="96">
        <f t="shared" si="0"/>
        <v>0</v>
      </c>
    </row>
    <row r="28" spans="1:21" ht="12.75" customHeight="1" hidden="1">
      <c r="A28" s="23" t="s">
        <v>26</v>
      </c>
      <c r="B28" s="23"/>
      <c r="C28" s="40">
        <v>0</v>
      </c>
      <c r="D28" s="40"/>
      <c r="E28" s="40">
        <v>0</v>
      </c>
      <c r="F28" s="40"/>
      <c r="G28" s="40">
        <v>0</v>
      </c>
      <c r="H28" s="40"/>
      <c r="I28" s="40">
        <v>0</v>
      </c>
      <c r="J28" s="40"/>
      <c r="K28" s="40">
        <v>0</v>
      </c>
      <c r="L28" s="40"/>
      <c r="M28" s="40">
        <v>0</v>
      </c>
      <c r="N28" s="40"/>
      <c r="O28" s="40">
        <f t="shared" si="1"/>
        <v>0</v>
      </c>
      <c r="P28" s="40"/>
      <c r="U28" s="96">
        <f t="shared" si="0"/>
        <v>0</v>
      </c>
    </row>
    <row r="29" spans="1:21" ht="12.75" customHeight="1">
      <c r="A29" s="23" t="s">
        <v>27</v>
      </c>
      <c r="B29" s="23"/>
      <c r="C29" s="40">
        <f>24826921+146105</f>
        <v>24973026</v>
      </c>
      <c r="D29" s="40"/>
      <c r="E29" s="40">
        <f>44662114</f>
        <v>44662114</v>
      </c>
      <c r="F29" s="40"/>
      <c r="G29" s="40">
        <f>6945702+4870500</f>
        <v>11816202</v>
      </c>
      <c r="H29" s="40"/>
      <c r="I29" s="40">
        <f>18545481</f>
        <v>18545481</v>
      </c>
      <c r="J29" s="40"/>
      <c r="K29" s="40">
        <f>723542+102951+885844+415834+4738867+416760+1074514</f>
        <v>8358312</v>
      </c>
      <c r="L29" s="40"/>
      <c r="M29" s="40">
        <f>3467+5237531+10402427+2507007-392111</f>
        <v>17758321</v>
      </c>
      <c r="N29" s="40"/>
      <c r="O29" s="40">
        <f aca="true" t="shared" si="2" ref="O29:O93">+M29+K29</f>
        <v>26116633</v>
      </c>
      <c r="P29" s="40"/>
      <c r="U29" s="96">
        <f t="shared" si="0"/>
        <v>0</v>
      </c>
    </row>
    <row r="30" spans="1:21" ht="12.75" customHeight="1">
      <c r="A30" s="23" t="s">
        <v>28</v>
      </c>
      <c r="B30" s="23"/>
      <c r="C30" s="40">
        <f>75938488+40712</f>
        <v>75979200</v>
      </c>
      <c r="D30" s="40"/>
      <c r="E30" s="40">
        <v>131511934</v>
      </c>
      <c r="F30" s="40"/>
      <c r="G30" s="40">
        <v>42864263</v>
      </c>
      <c r="H30" s="40"/>
      <c r="I30" s="40">
        <v>47974143</v>
      </c>
      <c r="J30" s="40"/>
      <c r="K30" s="40">
        <f>3657063+114865+2174844</f>
        <v>5946772</v>
      </c>
      <c r="L30" s="40"/>
      <c r="M30" s="40">
        <f>19172539+51098431+106390+7213659</f>
        <v>77591019</v>
      </c>
      <c r="N30" s="40"/>
      <c r="O30" s="40">
        <f t="shared" si="2"/>
        <v>83537791</v>
      </c>
      <c r="P30" s="40"/>
      <c r="U30" s="96">
        <f t="shared" si="0"/>
        <v>0</v>
      </c>
    </row>
    <row r="31" spans="1:21" ht="12.75" customHeight="1">
      <c r="A31" s="23" t="s">
        <v>29</v>
      </c>
      <c r="B31" s="23"/>
      <c r="C31" s="40">
        <f>26949123+1129651</f>
        <v>28078774</v>
      </c>
      <c r="D31" s="40"/>
      <c r="E31" s="40">
        <v>53167693</v>
      </c>
      <c r="F31" s="40"/>
      <c r="G31" s="40">
        <f>20147242</f>
        <v>20147242</v>
      </c>
      <c r="H31" s="40"/>
      <c r="I31" s="40">
        <v>28126220</v>
      </c>
      <c r="J31" s="40"/>
      <c r="K31" s="40">
        <f>560295+102706+199351+3096280</f>
        <v>3958632</v>
      </c>
      <c r="L31" s="40"/>
      <c r="M31" s="40">
        <f>7102722+11776979+1243439+959701</f>
        <v>21082841</v>
      </c>
      <c r="N31" s="40"/>
      <c r="O31" s="40">
        <f t="shared" si="2"/>
        <v>25041473</v>
      </c>
      <c r="P31" s="40"/>
      <c r="U31" s="96">
        <f t="shared" si="0"/>
        <v>0</v>
      </c>
    </row>
    <row r="32" spans="1:21" ht="12.75" customHeight="1">
      <c r="A32" s="23" t="s">
        <v>30</v>
      </c>
      <c r="B32" s="23"/>
      <c r="C32" s="40">
        <f>45668197+108540+357664</f>
        <v>46134401</v>
      </c>
      <c r="D32" s="40"/>
      <c r="E32" s="40">
        <v>99244165</v>
      </c>
      <c r="F32" s="40"/>
      <c r="G32" s="40">
        <v>40626787</v>
      </c>
      <c r="H32" s="40"/>
      <c r="I32" s="40">
        <v>49898814</v>
      </c>
      <c r="J32" s="40"/>
      <c r="K32" s="40">
        <f>5040418+266806+724556+1370000</f>
        <v>7401780</v>
      </c>
      <c r="L32" s="40"/>
      <c r="M32" s="40">
        <f>10720064+30885728+581993-244214</f>
        <v>41943571</v>
      </c>
      <c r="N32" s="40"/>
      <c r="O32" s="40">
        <f t="shared" si="2"/>
        <v>49345351</v>
      </c>
      <c r="P32" s="40"/>
      <c r="U32" s="96">
        <f t="shared" si="0"/>
        <v>0</v>
      </c>
    </row>
    <row r="33" spans="1:21" ht="12.75" customHeight="1" hidden="1">
      <c r="A33" s="23" t="s">
        <v>239</v>
      </c>
      <c r="B33" s="23"/>
      <c r="C33" s="40">
        <v>0</v>
      </c>
      <c r="D33" s="40"/>
      <c r="E33" s="40">
        <v>0</v>
      </c>
      <c r="F33" s="40"/>
      <c r="G33" s="40">
        <v>0</v>
      </c>
      <c r="H33" s="40"/>
      <c r="I33" s="40">
        <v>0</v>
      </c>
      <c r="J33" s="40"/>
      <c r="K33" s="40">
        <v>0</v>
      </c>
      <c r="L33" s="40"/>
      <c r="M33" s="40">
        <v>0</v>
      </c>
      <c r="N33" s="40"/>
      <c r="O33" s="40">
        <f t="shared" si="2"/>
        <v>0</v>
      </c>
      <c r="P33" s="40"/>
      <c r="U33" s="96">
        <f t="shared" si="0"/>
        <v>0</v>
      </c>
    </row>
    <row r="34" spans="1:21" ht="12.75" customHeight="1">
      <c r="A34" s="23" t="s">
        <v>32</v>
      </c>
      <c r="B34" s="23"/>
      <c r="C34" s="40">
        <f>(748499+2278)*1000</f>
        <v>750777000</v>
      </c>
      <c r="D34" s="40"/>
      <c r="E34" s="40">
        <f>1439265*1000</f>
        <v>1439265000</v>
      </c>
      <c r="F34" s="40"/>
      <c r="G34" s="40">
        <f>(144004+442358)*1000</f>
        <v>586362000</v>
      </c>
      <c r="H34" s="40"/>
      <c r="I34" s="40">
        <f>670217*1000</f>
        <v>670217000</v>
      </c>
      <c r="J34" s="40"/>
      <c r="K34" s="40">
        <f>(12413+11207+4299)*1000</f>
        <v>27919000</v>
      </c>
      <c r="L34" s="40"/>
      <c r="M34" s="40">
        <f>(18161+9017+192622+496381+380+24568)*1000</f>
        <v>741129000</v>
      </c>
      <c r="N34" s="40"/>
      <c r="O34" s="40">
        <f t="shared" si="2"/>
        <v>769048000</v>
      </c>
      <c r="P34" s="40"/>
      <c r="U34" s="96">
        <f t="shared" si="0"/>
        <v>0</v>
      </c>
    </row>
    <row r="35" spans="1:21" ht="12.75" customHeight="1">
      <c r="A35" s="23" t="s">
        <v>33</v>
      </c>
      <c r="B35" s="23"/>
      <c r="C35" s="40">
        <f>27173435+426034</f>
        <v>27599469</v>
      </c>
      <c r="D35" s="40"/>
      <c r="E35" s="40">
        <v>40613986</v>
      </c>
      <c r="F35" s="40"/>
      <c r="G35" s="40">
        <f>3207536+6631695</f>
        <v>9839231</v>
      </c>
      <c r="H35" s="40"/>
      <c r="I35" s="40">
        <v>11267453</v>
      </c>
      <c r="J35" s="40"/>
      <c r="K35" s="40">
        <f>2661364+268326+125773+37460+71942</f>
        <v>3164865</v>
      </c>
      <c r="L35" s="40"/>
      <c r="M35" s="40">
        <f>500000+5047701+20199736-37439+471670</f>
        <v>26181668</v>
      </c>
      <c r="N35" s="40"/>
      <c r="O35" s="40">
        <f t="shared" si="2"/>
        <v>29346533</v>
      </c>
      <c r="P35" s="40"/>
      <c r="U35" s="96">
        <f t="shared" si="0"/>
        <v>0</v>
      </c>
    </row>
    <row r="36" spans="1:21" ht="12.75" customHeight="1">
      <c r="A36" s="23" t="s">
        <v>34</v>
      </c>
      <c r="B36" s="23"/>
      <c r="C36" s="40">
        <f>4670444+78544+114580+119059+82038</f>
        <v>5064665</v>
      </c>
      <c r="D36" s="40"/>
      <c r="E36" s="40">
        <v>13849227</v>
      </c>
      <c r="F36" s="40"/>
      <c r="G36" s="40">
        <v>6132695</v>
      </c>
      <c r="H36" s="40"/>
      <c r="I36" s="40">
        <v>7925782</v>
      </c>
      <c r="J36" s="40"/>
      <c r="K36" s="40">
        <f>130823+82038+47222+24287</f>
        <v>284370</v>
      </c>
      <c r="L36" s="40"/>
      <c r="M36" s="40">
        <f>1183723+4391014+4200+60138</f>
        <v>5639075</v>
      </c>
      <c r="N36" s="40"/>
      <c r="O36" s="40">
        <f t="shared" si="2"/>
        <v>5923445</v>
      </c>
      <c r="P36" s="40"/>
      <c r="U36" s="96">
        <f t="shared" si="0"/>
        <v>0</v>
      </c>
    </row>
    <row r="37" spans="1:21" ht="12.75" customHeight="1">
      <c r="A37" s="23" t="s">
        <v>35</v>
      </c>
      <c r="B37" s="23"/>
      <c r="C37" s="40">
        <f>35630902+22150</f>
        <v>35653052</v>
      </c>
      <c r="D37" s="40"/>
      <c r="E37" s="40">
        <v>81463988</v>
      </c>
      <c r="F37" s="40"/>
      <c r="G37" s="40">
        <v>38983415</v>
      </c>
      <c r="H37" s="40"/>
      <c r="I37" s="40">
        <v>44952728</v>
      </c>
      <c r="J37" s="40"/>
      <c r="K37" s="40">
        <f>5430028+97038+2642396+200000</f>
        <v>8369462</v>
      </c>
      <c r="L37" s="40"/>
      <c r="M37" s="40">
        <f>5599030+19829349+1512700+1200719</f>
        <v>28141798</v>
      </c>
      <c r="N37" s="40"/>
      <c r="O37" s="40">
        <f t="shared" si="2"/>
        <v>36511260</v>
      </c>
      <c r="P37" s="40"/>
      <c r="U37" s="96">
        <f t="shared" si="0"/>
        <v>0</v>
      </c>
    </row>
    <row r="38" spans="1:21" ht="12.75" customHeight="1">
      <c r="A38" s="23" t="s">
        <v>226</v>
      </c>
      <c r="B38" s="23"/>
      <c r="C38" s="40">
        <f>67100838+119655</f>
        <v>67220493</v>
      </c>
      <c r="D38" s="40"/>
      <c r="E38" s="40">
        <v>128201637</v>
      </c>
      <c r="F38" s="40"/>
      <c r="G38" s="40">
        <v>54841270</v>
      </c>
      <c r="H38" s="40"/>
      <c r="I38" s="40">
        <v>68950895</v>
      </c>
      <c r="J38" s="40"/>
      <c r="K38" s="40">
        <f>8225313+85430</f>
        <v>8310743</v>
      </c>
      <c r="L38" s="40"/>
      <c r="M38" s="147">
        <f>2000000+14582547+42735794-8171263-207079</f>
        <v>50939999</v>
      </c>
      <c r="N38" s="40"/>
      <c r="O38" s="40">
        <f t="shared" si="2"/>
        <v>59250742</v>
      </c>
      <c r="P38" s="40"/>
      <c r="U38" s="96">
        <f t="shared" si="0"/>
        <v>0</v>
      </c>
    </row>
    <row r="39" spans="1:21" ht="12.75" customHeight="1" hidden="1">
      <c r="A39" s="23" t="s">
        <v>244</v>
      </c>
      <c r="B39" s="23"/>
      <c r="C39" s="24">
        <v>0</v>
      </c>
      <c r="D39" s="40"/>
      <c r="E39" s="24">
        <v>0</v>
      </c>
      <c r="F39" s="40"/>
      <c r="G39" s="24">
        <v>0</v>
      </c>
      <c r="H39" s="40"/>
      <c r="I39" s="24">
        <v>0</v>
      </c>
      <c r="J39" s="40"/>
      <c r="K39" s="24">
        <v>0</v>
      </c>
      <c r="L39" s="40"/>
      <c r="M39" s="24">
        <v>0</v>
      </c>
      <c r="N39" s="40"/>
      <c r="O39" s="40">
        <f t="shared" si="2"/>
        <v>0</v>
      </c>
      <c r="P39" s="40"/>
      <c r="U39" s="96">
        <f t="shared" si="0"/>
        <v>0</v>
      </c>
    </row>
    <row r="40" spans="1:21" ht="12.75" customHeight="1" hidden="1">
      <c r="A40" s="23" t="s">
        <v>37</v>
      </c>
      <c r="B40" s="23"/>
      <c r="C40" s="24">
        <v>0</v>
      </c>
      <c r="D40" s="40"/>
      <c r="E40" s="24">
        <v>0</v>
      </c>
      <c r="F40" s="40"/>
      <c r="G40" s="24">
        <v>0</v>
      </c>
      <c r="H40" s="40"/>
      <c r="I40" s="24">
        <v>0</v>
      </c>
      <c r="J40" s="40"/>
      <c r="K40" s="24">
        <v>0</v>
      </c>
      <c r="L40" s="40"/>
      <c r="M40" s="24">
        <v>0</v>
      </c>
      <c r="N40" s="40"/>
      <c r="O40" s="40">
        <f>+M40+K40</f>
        <v>0</v>
      </c>
      <c r="P40" s="40"/>
      <c r="U40" s="96">
        <f t="shared" si="0"/>
        <v>0</v>
      </c>
    </row>
    <row r="41" spans="1:21" ht="12.75" customHeight="1">
      <c r="A41" s="23" t="s">
        <v>38</v>
      </c>
      <c r="B41" s="23"/>
      <c r="C41" s="24">
        <f>34526949+42066+12500</f>
        <v>34581515</v>
      </c>
      <c r="D41" s="40"/>
      <c r="E41" s="24">
        <v>58887336</v>
      </c>
      <c r="F41" s="40"/>
      <c r="G41" s="24">
        <f>8794761+11322230</f>
        <v>20116991</v>
      </c>
      <c r="H41" s="40"/>
      <c r="I41" s="24">
        <v>24168474</v>
      </c>
      <c r="J41" s="40"/>
      <c r="K41" s="24">
        <f>2700184+190502+247000+550775</f>
        <v>3688461</v>
      </c>
      <c r="L41" s="40"/>
      <c r="M41" s="24">
        <f>177101+4217504+15113861+5744997+5632730+144208</f>
        <v>31030401</v>
      </c>
      <c r="N41" s="40"/>
      <c r="O41" s="40">
        <f>+M41+K41</f>
        <v>34718862</v>
      </c>
      <c r="P41" s="40"/>
      <c r="U41" s="96">
        <f t="shared" si="0"/>
        <v>0</v>
      </c>
    </row>
    <row r="42" spans="1:21" ht="12.75" customHeight="1" hidden="1">
      <c r="A42" s="23" t="s">
        <v>168</v>
      </c>
      <c r="B42" s="23"/>
      <c r="C42" s="24">
        <v>0</v>
      </c>
      <c r="D42" s="40"/>
      <c r="E42" s="24">
        <v>0</v>
      </c>
      <c r="F42" s="40"/>
      <c r="G42" s="24">
        <v>0</v>
      </c>
      <c r="H42" s="40"/>
      <c r="I42" s="24">
        <v>0</v>
      </c>
      <c r="J42" s="40"/>
      <c r="K42" s="24">
        <v>0</v>
      </c>
      <c r="L42" s="40"/>
      <c r="M42" s="24">
        <v>0</v>
      </c>
      <c r="N42" s="40"/>
      <c r="O42" s="40">
        <f t="shared" si="2"/>
        <v>0</v>
      </c>
      <c r="P42" s="40"/>
      <c r="U42" s="96">
        <f aca="true" t="shared" si="3" ref="U42:U73">+E42-I42-O42</f>
        <v>0</v>
      </c>
    </row>
    <row r="43" spans="1:21" ht="12.75" customHeight="1" hidden="1">
      <c r="A43" s="23" t="s">
        <v>39</v>
      </c>
      <c r="B43" s="23"/>
      <c r="C43" s="24">
        <v>0</v>
      </c>
      <c r="D43" s="40"/>
      <c r="E43" s="24">
        <v>0</v>
      </c>
      <c r="F43" s="40"/>
      <c r="G43" s="24">
        <v>0</v>
      </c>
      <c r="H43" s="40"/>
      <c r="I43" s="24">
        <v>0</v>
      </c>
      <c r="J43" s="40"/>
      <c r="K43" s="24">
        <v>0</v>
      </c>
      <c r="L43" s="40"/>
      <c r="M43" s="24">
        <v>0</v>
      </c>
      <c r="N43" s="40"/>
      <c r="O43" s="40">
        <f t="shared" si="2"/>
        <v>0</v>
      </c>
      <c r="P43" s="40"/>
      <c r="U43" s="96">
        <f t="shared" si="3"/>
        <v>0</v>
      </c>
    </row>
    <row r="44" spans="1:21" ht="12.75" customHeight="1">
      <c r="A44" s="23" t="s">
        <v>40</v>
      </c>
      <c r="B44" s="23"/>
      <c r="C44" s="24">
        <f>14040865+31623</f>
        <v>14072488</v>
      </c>
      <c r="D44" s="40"/>
      <c r="E44" s="24">
        <v>27994813</v>
      </c>
      <c r="F44" s="40"/>
      <c r="G44" s="24">
        <f>4663946+5248777</f>
        <v>9912723</v>
      </c>
      <c r="H44" s="40"/>
      <c r="I44" s="24">
        <v>11791202</v>
      </c>
      <c r="J44" s="40"/>
      <c r="K44" s="24">
        <f>170917+181124+136194+1566181+53201</f>
        <v>2107617</v>
      </c>
      <c r="L44" s="40"/>
      <c r="M44" s="24">
        <f>4145101+9470636+182986+297271</f>
        <v>14095994</v>
      </c>
      <c r="N44" s="40"/>
      <c r="O44" s="40">
        <f t="shared" si="2"/>
        <v>16203611</v>
      </c>
      <c r="P44" s="40"/>
      <c r="U44" s="96">
        <f t="shared" si="3"/>
        <v>0</v>
      </c>
    </row>
    <row r="45" spans="1:21" ht="12.75" customHeight="1" hidden="1">
      <c r="A45" s="23" t="s">
        <v>41</v>
      </c>
      <c r="B45" s="23"/>
      <c r="C45" s="24">
        <v>0</v>
      </c>
      <c r="D45" s="40"/>
      <c r="E45" s="24">
        <v>0</v>
      </c>
      <c r="F45" s="40"/>
      <c r="G45" s="24">
        <v>0</v>
      </c>
      <c r="H45" s="40"/>
      <c r="I45" s="24">
        <v>0</v>
      </c>
      <c r="J45" s="40"/>
      <c r="K45" s="24">
        <v>0</v>
      </c>
      <c r="L45" s="40"/>
      <c r="M45" s="24">
        <v>0</v>
      </c>
      <c r="N45" s="40"/>
      <c r="O45" s="40">
        <f t="shared" si="2"/>
        <v>0</v>
      </c>
      <c r="P45" s="40"/>
      <c r="U45" s="96">
        <f t="shared" si="3"/>
        <v>0</v>
      </c>
    </row>
    <row r="46" spans="1:21" ht="12.75" customHeight="1">
      <c r="A46" s="23" t="s">
        <v>42</v>
      </c>
      <c r="B46" s="23"/>
      <c r="C46" s="24">
        <v>10089549</v>
      </c>
      <c r="D46" s="147"/>
      <c r="E46" s="24">
        <v>19356538</v>
      </c>
      <c r="F46" s="147"/>
      <c r="G46" s="24">
        <v>7185477</v>
      </c>
      <c r="H46" s="147"/>
      <c r="I46" s="24">
        <v>8497419</v>
      </c>
      <c r="J46" s="147"/>
      <c r="K46" s="24">
        <v>573858</v>
      </c>
      <c r="L46" s="147"/>
      <c r="M46" s="24">
        <f>2504944+7401184+103006+276127</f>
        <v>10285261</v>
      </c>
      <c r="N46" s="147"/>
      <c r="O46" s="147">
        <f t="shared" si="2"/>
        <v>10859119</v>
      </c>
      <c r="P46" s="40"/>
      <c r="U46" s="96">
        <f t="shared" si="3"/>
        <v>0</v>
      </c>
    </row>
    <row r="47" spans="1:21" ht="12.75" customHeight="1">
      <c r="A47" s="23" t="s">
        <v>43</v>
      </c>
      <c r="B47" s="23"/>
      <c r="C47" s="24">
        <f>8981946+14179</f>
        <v>8996125</v>
      </c>
      <c r="D47" s="147"/>
      <c r="E47" s="24">
        <v>20327609</v>
      </c>
      <c r="F47" s="147"/>
      <c r="G47" s="24">
        <f>3049412+5842300</f>
        <v>8891712</v>
      </c>
      <c r="H47" s="147"/>
      <c r="I47" s="24">
        <v>10609848</v>
      </c>
      <c r="J47" s="147"/>
      <c r="K47" s="24">
        <f>29854+111332+854423+55000+155629</f>
        <v>1206238</v>
      </c>
      <c r="L47" s="147"/>
      <c r="M47" s="24">
        <f>149637+1406387+6468264+487235</f>
        <v>8511523</v>
      </c>
      <c r="N47" s="147"/>
      <c r="O47" s="147">
        <f t="shared" si="2"/>
        <v>9717761</v>
      </c>
      <c r="P47" s="40"/>
      <c r="U47" s="96">
        <f t="shared" si="3"/>
        <v>0</v>
      </c>
    </row>
    <row r="48" spans="1:21" ht="12.75" customHeight="1" hidden="1">
      <c r="A48" s="23" t="s">
        <v>44</v>
      </c>
      <c r="B48" s="23"/>
      <c r="C48" s="24">
        <v>0</v>
      </c>
      <c r="D48" s="147"/>
      <c r="E48" s="24">
        <v>0</v>
      </c>
      <c r="F48" s="147"/>
      <c r="G48" s="24">
        <v>0</v>
      </c>
      <c r="H48" s="147"/>
      <c r="I48" s="24">
        <v>0</v>
      </c>
      <c r="J48" s="147"/>
      <c r="K48" s="24">
        <v>0</v>
      </c>
      <c r="L48" s="147"/>
      <c r="M48" s="24">
        <v>0</v>
      </c>
      <c r="N48" s="147"/>
      <c r="O48" s="147">
        <f>+M48+K48</f>
        <v>0</v>
      </c>
      <c r="P48" s="40"/>
      <c r="U48" s="96">
        <f t="shared" si="3"/>
        <v>0</v>
      </c>
    </row>
    <row r="49" spans="1:21" ht="12.75" customHeight="1" hidden="1">
      <c r="A49" s="23" t="s">
        <v>241</v>
      </c>
      <c r="B49" s="23"/>
      <c r="C49" s="24">
        <v>0</v>
      </c>
      <c r="D49" s="147"/>
      <c r="E49" s="24">
        <v>0</v>
      </c>
      <c r="F49" s="147"/>
      <c r="G49" s="24">
        <v>0</v>
      </c>
      <c r="H49" s="147"/>
      <c r="I49" s="24">
        <v>0</v>
      </c>
      <c r="J49" s="147"/>
      <c r="K49" s="24">
        <v>0</v>
      </c>
      <c r="L49" s="147"/>
      <c r="M49" s="24">
        <v>0</v>
      </c>
      <c r="N49" s="147"/>
      <c r="O49" s="147">
        <f t="shared" si="2"/>
        <v>0</v>
      </c>
      <c r="P49" s="40"/>
      <c r="U49" s="96">
        <f t="shared" si="3"/>
        <v>0</v>
      </c>
    </row>
    <row r="50" spans="1:21" ht="12.75" customHeight="1">
      <c r="A50" s="23" t="s">
        <v>46</v>
      </c>
      <c r="B50" s="23"/>
      <c r="C50" s="24">
        <f>21828597+535767+55000</f>
        <v>22419364</v>
      </c>
      <c r="D50" s="147"/>
      <c r="E50" s="24">
        <v>55137820</v>
      </c>
      <c r="F50" s="147"/>
      <c r="G50" s="24">
        <f>20979507</f>
        <v>20979507</v>
      </c>
      <c r="H50" s="147"/>
      <c r="I50" s="24">
        <v>27095831</v>
      </c>
      <c r="J50" s="147"/>
      <c r="K50" s="24">
        <f>28041989-1781756</f>
        <v>26260233</v>
      </c>
      <c r="L50" s="147"/>
      <c r="M50" s="24">
        <v>1781756</v>
      </c>
      <c r="N50" s="147"/>
      <c r="O50" s="147">
        <f t="shared" si="2"/>
        <v>28041989</v>
      </c>
      <c r="P50" s="40"/>
      <c r="U50" s="96">
        <f t="shared" si="3"/>
        <v>0</v>
      </c>
    </row>
    <row r="51" spans="1:21" ht="12.75" customHeight="1">
      <c r="A51" s="23" t="s">
        <v>47</v>
      </c>
      <c r="B51" s="23"/>
      <c r="C51" s="24">
        <f>19282247+184116+1570790</f>
        <v>21037153</v>
      </c>
      <c r="D51" s="147"/>
      <c r="E51" s="24">
        <v>39990248</v>
      </c>
      <c r="F51" s="147"/>
      <c r="G51" s="24">
        <v>16476782</v>
      </c>
      <c r="H51" s="147"/>
      <c r="I51" s="24">
        <v>17953761</v>
      </c>
      <c r="J51" s="147"/>
      <c r="K51" s="24">
        <f>872236+363003+122768+23247+63599+160000</f>
        <v>1604853</v>
      </c>
      <c r="L51" s="147"/>
      <c r="M51" s="24">
        <f>2122349+17820875+488410</f>
        <v>20431634</v>
      </c>
      <c r="N51" s="147"/>
      <c r="O51" s="147">
        <f t="shared" si="2"/>
        <v>22036487</v>
      </c>
      <c r="P51" s="40"/>
      <c r="U51" s="96">
        <f t="shared" si="3"/>
        <v>0</v>
      </c>
    </row>
    <row r="52" spans="1:21" ht="12.75" customHeight="1">
      <c r="A52" s="23" t="s">
        <v>48</v>
      </c>
      <c r="B52" s="23"/>
      <c r="C52" s="24">
        <v>76765372</v>
      </c>
      <c r="D52" s="147"/>
      <c r="E52" s="24">
        <v>168536198</v>
      </c>
      <c r="F52" s="147"/>
      <c r="G52" s="24">
        <v>70845741</v>
      </c>
      <c r="H52" s="147"/>
      <c r="I52" s="24">
        <v>83600663</v>
      </c>
      <c r="J52" s="147"/>
      <c r="K52" s="24">
        <f>2174868+1156861+207844+2018785+2514956+96293+557676+386841</f>
        <v>9114124</v>
      </c>
      <c r="L52" s="147"/>
      <c r="M52" s="24">
        <f>10684850+60547913+4588648</f>
        <v>75821411</v>
      </c>
      <c r="N52" s="147"/>
      <c r="O52" s="147">
        <f t="shared" si="2"/>
        <v>84935535</v>
      </c>
      <c r="P52" s="40"/>
      <c r="U52" s="96">
        <f t="shared" si="3"/>
        <v>0</v>
      </c>
    </row>
    <row r="53" spans="1:21" ht="12.75" customHeight="1" hidden="1">
      <c r="A53" s="23" t="s">
        <v>170</v>
      </c>
      <c r="B53" s="23"/>
      <c r="C53" s="24">
        <v>0</v>
      </c>
      <c r="D53" s="147"/>
      <c r="E53" s="24">
        <v>0</v>
      </c>
      <c r="F53" s="147"/>
      <c r="G53" s="24">
        <v>0</v>
      </c>
      <c r="H53" s="147"/>
      <c r="I53" s="24">
        <v>0</v>
      </c>
      <c r="J53" s="147"/>
      <c r="K53" s="24">
        <v>0</v>
      </c>
      <c r="L53" s="147"/>
      <c r="M53" s="24">
        <v>0</v>
      </c>
      <c r="N53" s="147"/>
      <c r="O53" s="147">
        <f t="shared" si="2"/>
        <v>0</v>
      </c>
      <c r="P53" s="40"/>
      <c r="U53" s="96">
        <f t="shared" si="3"/>
        <v>0</v>
      </c>
    </row>
    <row r="54" spans="1:21" ht="12.75" customHeight="1">
      <c r="A54" s="23" t="s">
        <v>49</v>
      </c>
      <c r="B54" s="23"/>
      <c r="C54" s="24">
        <f>33496394+128480</f>
        <v>33624874</v>
      </c>
      <c r="D54" s="147"/>
      <c r="E54" s="24">
        <v>73289402</v>
      </c>
      <c r="F54" s="147"/>
      <c r="G54" s="24">
        <v>29609700</v>
      </c>
      <c r="H54" s="147"/>
      <c r="I54" s="24">
        <v>38276704</v>
      </c>
      <c r="J54" s="147"/>
      <c r="K54" s="24">
        <f>3056445+166554+303462+3422668+3403635</f>
        <v>10352764</v>
      </c>
      <c r="L54" s="147"/>
      <c r="M54" s="24">
        <f>8860315+18465611-2665992</f>
        <v>24659934</v>
      </c>
      <c r="N54" s="147"/>
      <c r="O54" s="147">
        <f t="shared" si="2"/>
        <v>35012698</v>
      </c>
      <c r="P54" s="40"/>
      <c r="U54" s="96">
        <f t="shared" si="3"/>
        <v>0</v>
      </c>
    </row>
    <row r="55" spans="1:21" ht="12.75" customHeight="1">
      <c r="A55" s="23" t="s">
        <v>50</v>
      </c>
      <c r="B55" s="23"/>
      <c r="C55" s="24">
        <v>16572847</v>
      </c>
      <c r="D55" s="147"/>
      <c r="E55" s="24">
        <v>31833861</v>
      </c>
      <c r="F55" s="147"/>
      <c r="G55" s="24">
        <v>12004670</v>
      </c>
      <c r="H55" s="147"/>
      <c r="I55" s="24">
        <v>17971799</v>
      </c>
      <c r="J55" s="147"/>
      <c r="K55" s="24">
        <f>938586+691082+51959+1924777</f>
        <v>3606404</v>
      </c>
      <c r="L55" s="147"/>
      <c r="M55" s="24">
        <f>12931083-2675425</f>
        <v>10255658</v>
      </c>
      <c r="N55" s="147"/>
      <c r="O55" s="147">
        <f t="shared" si="2"/>
        <v>13862062</v>
      </c>
      <c r="P55" s="40"/>
      <c r="U55" s="96">
        <f t="shared" si="3"/>
        <v>0</v>
      </c>
    </row>
    <row r="56" spans="1:21" ht="12.75" customHeight="1">
      <c r="A56" s="23" t="s">
        <v>246</v>
      </c>
      <c r="B56" s="23"/>
      <c r="C56" s="24">
        <f>95039890+373720+1426518</f>
        <v>96840128</v>
      </c>
      <c r="D56" s="147"/>
      <c r="E56" s="24">
        <v>207632628</v>
      </c>
      <c r="F56" s="147"/>
      <c r="G56" s="24">
        <v>67404134</v>
      </c>
      <c r="H56" s="147"/>
      <c r="I56" s="24">
        <v>96602920</v>
      </c>
      <c r="J56" s="147"/>
      <c r="K56" s="24">
        <f>7676416+1071377+20002045+823216+3820357</f>
        <v>33393411</v>
      </c>
      <c r="L56" s="147"/>
      <c r="M56" s="24">
        <f>2401082+89272229-6929292-7107722</f>
        <v>77636297</v>
      </c>
      <c r="N56" s="147"/>
      <c r="O56" s="147">
        <f t="shared" si="2"/>
        <v>111029708</v>
      </c>
      <c r="P56" s="40"/>
      <c r="U56" s="96">
        <f t="shared" si="3"/>
        <v>0</v>
      </c>
    </row>
    <row r="57" spans="1:21" ht="12.75" customHeight="1">
      <c r="A57" s="23" t="s">
        <v>183</v>
      </c>
      <c r="B57" s="23"/>
      <c r="C57" s="24">
        <f>155834221+3567228</f>
        <v>159401449</v>
      </c>
      <c r="D57" s="147"/>
      <c r="E57" s="24">
        <v>355705949</v>
      </c>
      <c r="F57" s="147"/>
      <c r="G57" s="24">
        <f>57344129+108378883</f>
        <v>165723012</v>
      </c>
      <c r="H57" s="147"/>
      <c r="I57" s="24">
        <v>217583031</v>
      </c>
      <c r="J57" s="147"/>
      <c r="K57" s="24">
        <f>18853405+633952</f>
        <v>19487357</v>
      </c>
      <c r="L57" s="147"/>
      <c r="M57" s="24">
        <f>27887052+96284364+8399595-13935450</f>
        <v>118635561</v>
      </c>
      <c r="N57" s="147"/>
      <c r="O57" s="147">
        <f t="shared" si="2"/>
        <v>138122918</v>
      </c>
      <c r="P57" s="40"/>
      <c r="U57" s="96">
        <f t="shared" si="3"/>
        <v>0</v>
      </c>
    </row>
    <row r="58" spans="1:21" ht="12.75" customHeight="1" hidden="1">
      <c r="A58" s="23" t="s">
        <v>52</v>
      </c>
      <c r="B58" s="23"/>
      <c r="C58" s="24">
        <v>0</v>
      </c>
      <c r="D58" s="147"/>
      <c r="E58" s="24">
        <v>0</v>
      </c>
      <c r="F58" s="147"/>
      <c r="G58" s="24">
        <v>0</v>
      </c>
      <c r="H58" s="147"/>
      <c r="I58" s="24">
        <v>0</v>
      </c>
      <c r="J58" s="147"/>
      <c r="K58" s="24">
        <v>0</v>
      </c>
      <c r="L58" s="147"/>
      <c r="M58" s="24">
        <v>0</v>
      </c>
      <c r="N58" s="147"/>
      <c r="O58" s="147">
        <f>+M58+K58</f>
        <v>0</v>
      </c>
      <c r="P58" s="40"/>
      <c r="U58" s="96">
        <f t="shared" si="3"/>
        <v>0</v>
      </c>
    </row>
    <row r="59" spans="1:21" ht="12.75" customHeight="1">
      <c r="A59" s="23" t="s">
        <v>53</v>
      </c>
      <c r="B59" s="23"/>
      <c r="C59" s="24">
        <f>74764704+483945+5616218</f>
        <v>80864867</v>
      </c>
      <c r="D59" s="147"/>
      <c r="E59" s="24">
        <v>151744823</v>
      </c>
      <c r="F59" s="147"/>
      <c r="G59" s="24">
        <v>55507059</v>
      </c>
      <c r="H59" s="147"/>
      <c r="I59" s="24">
        <v>73259926</v>
      </c>
      <c r="J59" s="147"/>
      <c r="K59" s="24">
        <f>75907816+470209+1184077</f>
        <v>77562102</v>
      </c>
      <c r="L59" s="147"/>
      <c r="M59" s="24">
        <v>922795</v>
      </c>
      <c r="N59" s="147"/>
      <c r="O59" s="147">
        <f t="shared" si="2"/>
        <v>78484897</v>
      </c>
      <c r="P59" s="40"/>
      <c r="U59" s="96">
        <f t="shared" si="3"/>
        <v>0</v>
      </c>
    </row>
    <row r="60" spans="1:21" ht="12.75" customHeight="1">
      <c r="A60" s="23" t="s">
        <v>54</v>
      </c>
      <c r="B60" s="23"/>
      <c r="C60" s="24">
        <f>25482168+16027+432473</f>
        <v>25930668</v>
      </c>
      <c r="D60" s="147"/>
      <c r="E60" s="24">
        <v>44710068</v>
      </c>
      <c r="F60" s="147"/>
      <c r="G60" s="24">
        <v>15376267</v>
      </c>
      <c r="H60" s="147"/>
      <c r="I60" s="24">
        <v>21630161</v>
      </c>
      <c r="J60" s="147"/>
      <c r="K60" s="24">
        <f>118563+1397684+718826+46076</f>
        <v>2281149</v>
      </c>
      <c r="L60" s="147"/>
      <c r="M60" s="24">
        <f>2805120+17020826+16622+956190</f>
        <v>20798758</v>
      </c>
      <c r="N60" s="147"/>
      <c r="O60" s="147">
        <f t="shared" si="2"/>
        <v>23079907</v>
      </c>
      <c r="P60" s="40"/>
      <c r="U60" s="96">
        <f t="shared" si="3"/>
        <v>0</v>
      </c>
    </row>
    <row r="61" spans="1:21" ht="12.75" customHeight="1">
      <c r="A61" s="23" t="s">
        <v>55</v>
      </c>
      <c r="B61" s="23"/>
      <c r="C61" s="24">
        <f>45190682+33171+2969091</f>
        <v>48192944</v>
      </c>
      <c r="D61" s="147"/>
      <c r="E61" s="24">
        <v>93415640</v>
      </c>
      <c r="F61" s="147"/>
      <c r="G61" s="24">
        <v>35691910</v>
      </c>
      <c r="H61" s="147"/>
      <c r="I61" s="24">
        <v>46803814</v>
      </c>
      <c r="J61" s="147"/>
      <c r="K61" s="24">
        <f>1785172+75486+82818</f>
        <v>1943476</v>
      </c>
      <c r="L61" s="147"/>
      <c r="M61" s="24">
        <f>8700387+36454907+139908-626852</f>
        <v>44668350</v>
      </c>
      <c r="N61" s="147"/>
      <c r="O61" s="147">
        <f t="shared" si="2"/>
        <v>46611826</v>
      </c>
      <c r="P61" s="40"/>
      <c r="U61" s="96">
        <f t="shared" si="3"/>
        <v>0</v>
      </c>
    </row>
    <row r="62" spans="1:21" ht="12.75" customHeight="1" hidden="1">
      <c r="A62" s="23" t="s">
        <v>171</v>
      </c>
      <c r="B62" s="23"/>
      <c r="C62" s="24">
        <v>0</v>
      </c>
      <c r="D62" s="147"/>
      <c r="E62" s="24">
        <v>0</v>
      </c>
      <c r="F62" s="147"/>
      <c r="G62" s="24">
        <v>0</v>
      </c>
      <c r="H62" s="147"/>
      <c r="I62" s="24">
        <v>0</v>
      </c>
      <c r="J62" s="147"/>
      <c r="K62" s="24">
        <v>0</v>
      </c>
      <c r="L62" s="147"/>
      <c r="M62" s="24">
        <v>0</v>
      </c>
      <c r="N62" s="147"/>
      <c r="O62" s="147">
        <f t="shared" si="2"/>
        <v>0</v>
      </c>
      <c r="P62" s="40"/>
      <c r="U62" s="96">
        <f t="shared" si="3"/>
        <v>0</v>
      </c>
    </row>
    <row r="63" spans="1:21" ht="12.75" customHeight="1" hidden="1">
      <c r="A63" s="23" t="s">
        <v>56</v>
      </c>
      <c r="B63" s="23"/>
      <c r="C63" s="24">
        <v>0</v>
      </c>
      <c r="D63" s="147"/>
      <c r="E63" s="24">
        <v>0</v>
      </c>
      <c r="F63" s="147"/>
      <c r="G63" s="24">
        <v>0</v>
      </c>
      <c r="H63" s="147"/>
      <c r="I63" s="24">
        <v>0</v>
      </c>
      <c r="J63" s="147"/>
      <c r="K63" s="24">
        <v>0</v>
      </c>
      <c r="L63" s="147"/>
      <c r="M63" s="24">
        <v>0</v>
      </c>
      <c r="N63" s="147"/>
      <c r="O63" s="147">
        <f t="shared" si="2"/>
        <v>0</v>
      </c>
      <c r="P63" s="40"/>
      <c r="U63" s="96">
        <f t="shared" si="3"/>
        <v>0</v>
      </c>
    </row>
    <row r="64" spans="1:21" ht="12.75" customHeight="1">
      <c r="A64" s="23" t="s">
        <v>57</v>
      </c>
      <c r="B64" s="23"/>
      <c r="C64" s="24">
        <f>8283109+428183+28154171</f>
        <v>36865463</v>
      </c>
      <c r="D64" s="147"/>
      <c r="E64" s="24">
        <v>66609244</v>
      </c>
      <c r="F64" s="147"/>
      <c r="G64" s="24">
        <v>21645982</v>
      </c>
      <c r="H64" s="147"/>
      <c r="I64" s="24">
        <v>25063595</v>
      </c>
      <c r="J64" s="147"/>
      <c r="K64" s="24">
        <f>5462554+174699+253082+46425+1505790+555468</f>
        <v>7998018</v>
      </c>
      <c r="L64" s="147"/>
      <c r="M64" s="24">
        <f>10759197+21013612+1774822</f>
        <v>33547631</v>
      </c>
      <c r="N64" s="147"/>
      <c r="O64" s="147">
        <f>+M64+K64</f>
        <v>41545649</v>
      </c>
      <c r="P64" s="40"/>
      <c r="U64" s="96">
        <f t="shared" si="3"/>
        <v>0</v>
      </c>
    </row>
    <row r="65" spans="1:21" ht="12.75" customHeight="1">
      <c r="A65" s="23" t="s">
        <v>58</v>
      </c>
      <c r="B65" s="23"/>
      <c r="C65" s="24">
        <f>4765628+356434</f>
        <v>5122062</v>
      </c>
      <c r="D65" s="147"/>
      <c r="E65" s="24">
        <v>10508894</v>
      </c>
      <c r="F65" s="147"/>
      <c r="G65" s="24">
        <v>3659553</v>
      </c>
      <c r="H65" s="147"/>
      <c r="I65" s="24">
        <v>4718751</v>
      </c>
      <c r="J65" s="147"/>
      <c r="K65" s="24">
        <f>30207+16990+151660</f>
        <v>198857</v>
      </c>
      <c r="L65" s="147"/>
      <c r="M65" s="24">
        <f>475677+4978243+137366</f>
        <v>5591286</v>
      </c>
      <c r="N65" s="147"/>
      <c r="O65" s="147">
        <f t="shared" si="2"/>
        <v>5790143</v>
      </c>
      <c r="P65" s="40"/>
      <c r="U65" s="96">
        <f t="shared" si="3"/>
        <v>0</v>
      </c>
    </row>
    <row r="66" spans="1:21" ht="12.75" customHeight="1">
      <c r="A66" s="23" t="s">
        <v>59</v>
      </c>
      <c r="B66" s="23"/>
      <c r="C66" s="24">
        <f>245441965+11945208</f>
        <v>257387173</v>
      </c>
      <c r="D66" s="40"/>
      <c r="E66" s="24">
        <v>516341192</v>
      </c>
      <c r="F66" s="40"/>
      <c r="G66" s="24">
        <v>213385288</v>
      </c>
      <c r="H66" s="40"/>
      <c r="I66" s="24">
        <v>253806713</v>
      </c>
      <c r="J66" s="40"/>
      <c r="K66" s="24">
        <f>64218357+7590683+293789</f>
        <v>72102829</v>
      </c>
      <c r="L66" s="40"/>
      <c r="M66" s="24">
        <f>44690606+125903442-1802000+21639602</f>
        <v>190431650</v>
      </c>
      <c r="N66" s="40"/>
      <c r="O66" s="40">
        <f t="shared" si="2"/>
        <v>262534479</v>
      </c>
      <c r="P66" s="40"/>
      <c r="U66" s="96">
        <f t="shared" si="3"/>
        <v>0</v>
      </c>
    </row>
    <row r="67" spans="1:21" ht="12.75" customHeight="1" hidden="1">
      <c r="A67" s="23" t="s">
        <v>60</v>
      </c>
      <c r="B67" s="23"/>
      <c r="C67" s="24">
        <v>0</v>
      </c>
      <c r="D67" s="40"/>
      <c r="E67" s="24">
        <v>0</v>
      </c>
      <c r="F67" s="40"/>
      <c r="G67" s="24">
        <v>0</v>
      </c>
      <c r="H67" s="40"/>
      <c r="I67" s="24">
        <v>0</v>
      </c>
      <c r="J67" s="40"/>
      <c r="K67" s="24">
        <v>0</v>
      </c>
      <c r="L67" s="40"/>
      <c r="M67" s="24">
        <v>0</v>
      </c>
      <c r="N67" s="40"/>
      <c r="O67" s="40">
        <f t="shared" si="2"/>
        <v>0</v>
      </c>
      <c r="P67" s="40"/>
      <c r="U67" s="96">
        <f t="shared" si="3"/>
        <v>0</v>
      </c>
    </row>
    <row r="68" spans="1:21" ht="12.75" customHeight="1">
      <c r="A68" s="23" t="s">
        <v>97</v>
      </c>
      <c r="B68" s="23"/>
      <c r="C68" s="24">
        <v>9976523</v>
      </c>
      <c r="D68" s="40"/>
      <c r="E68" s="24">
        <v>19079942</v>
      </c>
      <c r="F68" s="40"/>
      <c r="G68" s="24">
        <f>2436016+3354563</f>
        <v>5790579</v>
      </c>
      <c r="H68" s="40"/>
      <c r="I68" s="24">
        <v>7357871</v>
      </c>
      <c r="J68" s="40"/>
      <c r="K68" s="24">
        <f>1605512+113564+232677+272520+765158+58743</f>
        <v>3048174</v>
      </c>
      <c r="L68" s="40"/>
      <c r="M68" s="24">
        <f>1290363+6589926+793608</f>
        <v>8673897</v>
      </c>
      <c r="N68" s="40"/>
      <c r="O68" s="40">
        <f t="shared" si="2"/>
        <v>11722071</v>
      </c>
      <c r="P68" s="40"/>
      <c r="U68" s="96">
        <f t="shared" si="3"/>
        <v>0</v>
      </c>
    </row>
    <row r="69" spans="1:21" ht="12.75" customHeight="1">
      <c r="A69" s="23" t="s">
        <v>61</v>
      </c>
      <c r="B69" s="23"/>
      <c r="C69" s="24">
        <f>39277993+2425768+750000+600707</f>
        <v>43054468</v>
      </c>
      <c r="D69" s="40"/>
      <c r="E69" s="24">
        <v>79623892</v>
      </c>
      <c r="F69" s="40"/>
      <c r="G69" s="24">
        <v>32121259</v>
      </c>
      <c r="H69" s="40"/>
      <c r="I69" s="24">
        <v>38001050</v>
      </c>
      <c r="J69" s="40"/>
      <c r="K69" s="24">
        <f>1727425</f>
        <v>1727425</v>
      </c>
      <c r="L69" s="40"/>
      <c r="M69" s="24">
        <f>6246317+31635209+241579+1772312</f>
        <v>39895417</v>
      </c>
      <c r="N69" s="40"/>
      <c r="O69" s="40">
        <f t="shared" si="2"/>
        <v>41622842</v>
      </c>
      <c r="P69" s="40"/>
      <c r="U69" s="96">
        <f t="shared" si="3"/>
        <v>0</v>
      </c>
    </row>
    <row r="70" spans="1:21" ht="12.75" customHeight="1">
      <c r="A70" s="23" t="s">
        <v>62</v>
      </c>
      <c r="B70" s="23"/>
      <c r="C70" s="24">
        <f>5049840+384880</f>
        <v>5434720</v>
      </c>
      <c r="D70" s="40"/>
      <c r="E70" s="24">
        <v>11135762</v>
      </c>
      <c r="F70" s="40"/>
      <c r="G70" s="24">
        <v>4318602</v>
      </c>
      <c r="H70" s="40"/>
      <c r="I70" s="24">
        <v>5140517</v>
      </c>
      <c r="J70" s="40"/>
      <c r="K70" s="24">
        <f>296595+58225+22448</f>
        <v>377268</v>
      </c>
      <c r="L70" s="40"/>
      <c r="M70" s="24">
        <f>939470+4497165+181342</f>
        <v>5617977</v>
      </c>
      <c r="N70" s="40"/>
      <c r="O70" s="40">
        <f t="shared" si="2"/>
        <v>5995245</v>
      </c>
      <c r="P70" s="40"/>
      <c r="U70" s="96">
        <f t="shared" si="3"/>
        <v>0</v>
      </c>
    </row>
    <row r="71" spans="1:21" ht="12.75" customHeight="1" hidden="1">
      <c r="A71" s="23" t="s">
        <v>63</v>
      </c>
      <c r="B71" s="23"/>
      <c r="C71" s="24">
        <v>0</v>
      </c>
      <c r="D71" s="40"/>
      <c r="E71" s="24">
        <v>0</v>
      </c>
      <c r="F71" s="40"/>
      <c r="G71" s="24">
        <v>0</v>
      </c>
      <c r="H71" s="40"/>
      <c r="I71" s="24">
        <v>0</v>
      </c>
      <c r="J71" s="40"/>
      <c r="K71" s="24">
        <v>0</v>
      </c>
      <c r="L71" s="40"/>
      <c r="M71" s="24">
        <v>0</v>
      </c>
      <c r="N71" s="40"/>
      <c r="O71" s="40">
        <f t="shared" si="2"/>
        <v>0</v>
      </c>
      <c r="P71" s="40"/>
      <c r="U71" s="96">
        <f t="shared" si="3"/>
        <v>0</v>
      </c>
    </row>
    <row r="72" spans="1:21" ht="12.75" customHeight="1" hidden="1">
      <c r="A72" s="23" t="s">
        <v>132</v>
      </c>
      <c r="B72" s="23"/>
      <c r="C72" s="24">
        <v>0</v>
      </c>
      <c r="D72" s="40"/>
      <c r="E72" s="24">
        <v>0</v>
      </c>
      <c r="F72" s="40"/>
      <c r="G72" s="24">
        <v>0</v>
      </c>
      <c r="H72" s="40"/>
      <c r="I72" s="24">
        <v>0</v>
      </c>
      <c r="J72" s="40"/>
      <c r="K72" s="24">
        <v>0</v>
      </c>
      <c r="L72" s="40"/>
      <c r="M72" s="24">
        <v>0</v>
      </c>
      <c r="N72" s="40"/>
      <c r="O72" s="40">
        <f t="shared" si="2"/>
        <v>0</v>
      </c>
      <c r="P72" s="40"/>
      <c r="U72" s="96">
        <f t="shared" si="3"/>
        <v>0</v>
      </c>
    </row>
    <row r="73" spans="1:21" ht="12.75" customHeight="1" hidden="1">
      <c r="A73" s="23" t="s">
        <v>64</v>
      </c>
      <c r="B73" s="23"/>
      <c r="C73" s="24">
        <v>0</v>
      </c>
      <c r="D73" s="40"/>
      <c r="E73" s="24">
        <v>0</v>
      </c>
      <c r="F73" s="40"/>
      <c r="G73" s="24">
        <v>0</v>
      </c>
      <c r="H73" s="40"/>
      <c r="I73" s="24">
        <v>0</v>
      </c>
      <c r="J73" s="40"/>
      <c r="K73" s="24">
        <v>0</v>
      </c>
      <c r="L73" s="40"/>
      <c r="M73" s="24">
        <v>0</v>
      </c>
      <c r="N73" s="40"/>
      <c r="O73" s="40">
        <f t="shared" si="2"/>
        <v>0</v>
      </c>
      <c r="P73" s="40"/>
      <c r="Q73" s="26"/>
      <c r="U73" s="96">
        <f t="shared" si="3"/>
        <v>0</v>
      </c>
    </row>
    <row r="74" spans="1:21" ht="12.75" customHeight="1">
      <c r="A74" s="23" t="s">
        <v>65</v>
      </c>
      <c r="B74" s="23"/>
      <c r="C74" s="24">
        <f>17150307+169002+2995615</f>
        <v>20314924</v>
      </c>
      <c r="D74" s="40"/>
      <c r="E74" s="24">
        <v>33884328</v>
      </c>
      <c r="F74" s="40"/>
      <c r="G74" s="24">
        <v>9961527</v>
      </c>
      <c r="H74" s="40"/>
      <c r="I74" s="24">
        <v>12113753</v>
      </c>
      <c r="J74" s="40"/>
      <c r="K74" s="24">
        <f>60079+173527</f>
        <v>233606</v>
      </c>
      <c r="L74" s="40"/>
      <c r="M74" s="24">
        <f>2502116+14218132+29599+4787122</f>
        <v>21536969</v>
      </c>
      <c r="N74" s="40"/>
      <c r="O74" s="40">
        <f t="shared" si="2"/>
        <v>21770575</v>
      </c>
      <c r="P74" s="40"/>
      <c r="Q74" s="26"/>
      <c r="U74" s="96">
        <f aca="true" t="shared" si="4" ref="U74:U100">+E74-I74-O74</f>
        <v>0</v>
      </c>
    </row>
    <row r="75" spans="1:21" ht="12.75" customHeight="1">
      <c r="A75" s="23" t="s">
        <v>66</v>
      </c>
      <c r="B75" s="23"/>
      <c r="C75" s="24">
        <f>15055886+43223+715885+529944</f>
        <v>16344938</v>
      </c>
      <c r="D75" s="40"/>
      <c r="E75" s="24">
        <v>28534223</v>
      </c>
      <c r="F75" s="40"/>
      <c r="G75" s="24">
        <v>8606831</v>
      </c>
      <c r="H75" s="40"/>
      <c r="I75" s="24">
        <v>10643879</v>
      </c>
      <c r="J75" s="40"/>
      <c r="K75" s="24">
        <f>1246752+1152662</f>
        <v>2399414</v>
      </c>
      <c r="L75" s="40"/>
      <c r="M75" s="24">
        <f>5403287+10142338-54695</f>
        <v>15490930</v>
      </c>
      <c r="N75" s="40"/>
      <c r="O75" s="40">
        <f t="shared" si="2"/>
        <v>17890344</v>
      </c>
      <c r="P75" s="40"/>
      <c r="Q75" s="26"/>
      <c r="U75" s="96">
        <f t="shared" si="4"/>
        <v>0</v>
      </c>
    </row>
    <row r="76" spans="1:21" ht="12.75" customHeight="1">
      <c r="A76" s="23" t="s">
        <v>67</v>
      </c>
      <c r="B76" s="23"/>
      <c r="C76" s="24">
        <f>50518022+246370+7490184</f>
        <v>58254576</v>
      </c>
      <c r="D76" s="40"/>
      <c r="E76" s="24">
        <v>113475702</v>
      </c>
      <c r="F76" s="40"/>
      <c r="G76" s="24">
        <v>34402100</v>
      </c>
      <c r="H76" s="40"/>
      <c r="I76" s="24">
        <v>42507630</v>
      </c>
      <c r="J76" s="40"/>
      <c r="K76" s="24">
        <f>3138196+6092246+489580</f>
        <v>9720022</v>
      </c>
      <c r="L76" s="40"/>
      <c r="M76" s="24">
        <f>14245342+42251057+593459+4158192</f>
        <v>61248050</v>
      </c>
      <c r="N76" s="40"/>
      <c r="O76" s="40">
        <f t="shared" si="2"/>
        <v>70968072</v>
      </c>
      <c r="P76" s="40"/>
      <c r="Q76" s="26"/>
      <c r="U76" s="96">
        <f t="shared" si="4"/>
        <v>0</v>
      </c>
    </row>
    <row r="77" spans="1:21" ht="12.75" customHeight="1">
      <c r="A77" s="23" t="s">
        <v>68</v>
      </c>
      <c r="B77" s="23"/>
      <c r="C77" s="24">
        <f>10287087+142802+1183451</f>
        <v>11613340</v>
      </c>
      <c r="D77" s="40"/>
      <c r="E77" s="24">
        <f>21095100</f>
        <v>21095100</v>
      </c>
      <c r="F77" s="40"/>
      <c r="G77" s="24">
        <f>6054624</f>
        <v>6054624</v>
      </c>
      <c r="H77" s="40"/>
      <c r="I77" s="24">
        <v>7893002</v>
      </c>
      <c r="J77" s="40"/>
      <c r="K77" s="24">
        <f>577068</f>
        <v>577068</v>
      </c>
      <c r="L77" s="40"/>
      <c r="M77" s="24">
        <f>3639075+8813096+190431-17572</f>
        <v>12625030</v>
      </c>
      <c r="N77" s="40"/>
      <c r="O77" s="40">
        <f t="shared" si="2"/>
        <v>13202098</v>
      </c>
      <c r="P77" s="40"/>
      <c r="Q77" s="26"/>
      <c r="U77" s="96">
        <f t="shared" si="4"/>
        <v>0</v>
      </c>
    </row>
    <row r="78" spans="1:21" ht="12.75" customHeight="1">
      <c r="A78" s="23"/>
      <c r="B78" s="23"/>
      <c r="C78" s="24"/>
      <c r="D78" s="40"/>
      <c r="E78" s="24"/>
      <c r="F78" s="40"/>
      <c r="G78" s="24"/>
      <c r="H78" s="40"/>
      <c r="I78" s="24"/>
      <c r="J78" s="40"/>
      <c r="K78" s="24"/>
      <c r="L78" s="40"/>
      <c r="M78" s="24"/>
      <c r="N78" s="40"/>
      <c r="O78" s="40"/>
      <c r="P78" s="40"/>
      <c r="Q78" s="26"/>
      <c r="U78" s="96"/>
    </row>
    <row r="79" spans="1:21" ht="12.75" customHeight="1">
      <c r="A79" s="23"/>
      <c r="B79" s="23"/>
      <c r="C79" s="24"/>
      <c r="D79" s="40"/>
      <c r="E79" s="24"/>
      <c r="F79" s="40"/>
      <c r="G79" s="24"/>
      <c r="H79" s="40"/>
      <c r="I79" s="24"/>
      <c r="J79" s="40"/>
      <c r="K79" s="24"/>
      <c r="L79" s="40"/>
      <c r="M79" s="24"/>
      <c r="N79" s="40"/>
      <c r="O79" s="40" t="s">
        <v>249</v>
      </c>
      <c r="P79" s="40"/>
      <c r="Q79" s="26"/>
      <c r="U79" s="96"/>
    </row>
    <row r="80" spans="1:21" ht="12.75" customHeight="1" hidden="1">
      <c r="A80" s="23" t="s">
        <v>176</v>
      </c>
      <c r="B80" s="23"/>
      <c r="C80" s="24">
        <v>0</v>
      </c>
      <c r="D80" s="40"/>
      <c r="E80" s="24">
        <v>0</v>
      </c>
      <c r="F80" s="40"/>
      <c r="G80" s="24">
        <v>0</v>
      </c>
      <c r="H80" s="40"/>
      <c r="I80" s="24">
        <v>0</v>
      </c>
      <c r="J80" s="40"/>
      <c r="K80" s="24">
        <v>0</v>
      </c>
      <c r="L80" s="40"/>
      <c r="M80" s="24">
        <v>0</v>
      </c>
      <c r="N80" s="40"/>
      <c r="O80" s="40">
        <f t="shared" si="2"/>
        <v>0</v>
      </c>
      <c r="P80" s="40"/>
      <c r="Q80" s="26"/>
      <c r="U80" s="96">
        <f t="shared" si="4"/>
        <v>0</v>
      </c>
    </row>
    <row r="81" spans="1:21" ht="12.75" customHeight="1">
      <c r="A81" s="23" t="s">
        <v>178</v>
      </c>
      <c r="B81" s="23"/>
      <c r="C81" s="44">
        <f>43775097+46821+6799526</f>
        <v>50621444</v>
      </c>
      <c r="D81" s="61"/>
      <c r="E81" s="44">
        <f>97169163</f>
        <v>97169163</v>
      </c>
      <c r="F81" s="61"/>
      <c r="G81" s="44">
        <f>39684520</f>
        <v>39684520</v>
      </c>
      <c r="H81" s="61"/>
      <c r="I81" s="44">
        <v>51218677</v>
      </c>
      <c r="J81" s="61"/>
      <c r="K81" s="44">
        <f>1141104+46084181+244975+65250</f>
        <v>47535510</v>
      </c>
      <c r="L81" s="61"/>
      <c r="M81" s="44">
        <f>-1585024</f>
        <v>-1585024</v>
      </c>
      <c r="N81" s="61"/>
      <c r="O81" s="61">
        <f t="shared" si="2"/>
        <v>45950486</v>
      </c>
      <c r="P81" s="40"/>
      <c r="Q81" s="26"/>
      <c r="U81" s="96">
        <f t="shared" si="4"/>
        <v>0</v>
      </c>
    </row>
    <row r="82" spans="1:21" ht="12.75" customHeight="1">
      <c r="A82" s="23" t="s">
        <v>69</v>
      </c>
      <c r="B82" s="23"/>
      <c r="C82" s="24">
        <f>9695629+626393</f>
        <v>10322022</v>
      </c>
      <c r="D82" s="40"/>
      <c r="E82" s="24">
        <v>34148461</v>
      </c>
      <c r="F82" s="40"/>
      <c r="G82" s="24">
        <f>6636803+10347644</f>
        <v>16984447</v>
      </c>
      <c r="H82" s="40"/>
      <c r="I82" s="24">
        <v>22161620</v>
      </c>
      <c r="J82" s="40"/>
      <c r="K82" s="24">
        <f>721152+111594+9928+1080000</f>
        <v>1922674</v>
      </c>
      <c r="L82" s="40"/>
      <c r="M82" s="24">
        <f>4090901+6034236+183164-244134</f>
        <v>10064167</v>
      </c>
      <c r="N82" s="40"/>
      <c r="O82" s="40">
        <f t="shared" si="2"/>
        <v>11986841</v>
      </c>
      <c r="P82" s="40"/>
      <c r="Q82" s="26"/>
      <c r="U82" s="96">
        <f t="shared" si="4"/>
        <v>0</v>
      </c>
    </row>
    <row r="83" spans="1:21" ht="12.75" customHeight="1">
      <c r="A83" s="23" t="s">
        <v>98</v>
      </c>
      <c r="B83" s="23"/>
      <c r="C83" s="24">
        <v>24296875</v>
      </c>
      <c r="D83" s="40"/>
      <c r="E83" s="24">
        <v>39838248</v>
      </c>
      <c r="F83" s="40"/>
      <c r="G83" s="24">
        <f>4282758+6677199</f>
        <v>10959957</v>
      </c>
      <c r="H83" s="40"/>
      <c r="I83" s="24">
        <v>13592809</v>
      </c>
      <c r="J83" s="40"/>
      <c r="K83" s="24">
        <f>871183+107350+665284+50000+164467+101281</f>
        <v>1959565</v>
      </c>
      <c r="L83" s="40"/>
      <c r="M83" s="24">
        <f>4568854+15838311+247137+3631572</f>
        <v>24285874</v>
      </c>
      <c r="N83" s="40"/>
      <c r="O83" s="40">
        <f t="shared" si="2"/>
        <v>26245439</v>
      </c>
      <c r="P83" s="40"/>
      <c r="Q83" s="26"/>
      <c r="U83" s="96">
        <f t="shared" si="4"/>
        <v>0</v>
      </c>
    </row>
    <row r="84" spans="1:21" ht="12.75" customHeight="1">
      <c r="A84" s="23" t="s">
        <v>70</v>
      </c>
      <c r="B84" s="23"/>
      <c r="C84" s="24">
        <f>12177675+101961+265601</f>
        <v>12545237</v>
      </c>
      <c r="D84" s="40"/>
      <c r="E84" s="24">
        <v>34154988</v>
      </c>
      <c r="F84" s="40"/>
      <c r="G84" s="24">
        <v>13323825</v>
      </c>
      <c r="H84" s="40"/>
      <c r="I84" s="24">
        <v>17950780</v>
      </c>
      <c r="J84" s="40"/>
      <c r="K84" s="24">
        <f>769880+268021+490651</f>
        <v>1528552</v>
      </c>
      <c r="L84" s="40"/>
      <c r="M84" s="24">
        <f>13672470+436463+713437-146714</f>
        <v>14675656</v>
      </c>
      <c r="N84" s="40"/>
      <c r="O84" s="40">
        <f t="shared" si="2"/>
        <v>16204208</v>
      </c>
      <c r="P84" s="40"/>
      <c r="Q84" s="26"/>
      <c r="U84" s="96">
        <f t="shared" si="4"/>
        <v>0</v>
      </c>
    </row>
    <row r="85" spans="1:21" ht="12.75" customHeight="1">
      <c r="A85" s="23" t="s">
        <v>71</v>
      </c>
      <c r="B85" s="23"/>
      <c r="C85" s="24">
        <f>23198602+123295</f>
        <v>23321897</v>
      </c>
      <c r="D85" s="40"/>
      <c r="E85" s="24">
        <v>36013571</v>
      </c>
      <c r="F85" s="40"/>
      <c r="G85" s="24">
        <f>4226722+4331377</f>
        <v>8558099</v>
      </c>
      <c r="H85" s="40"/>
      <c r="I85" s="24">
        <v>11115078</v>
      </c>
      <c r="J85" s="40"/>
      <c r="K85" s="24">
        <f>2193734+154456+204746+123295</f>
        <v>2676231</v>
      </c>
      <c r="L85" s="40"/>
      <c r="M85" s="24">
        <f>3267517+18419233-230088+765600</f>
        <v>22222262</v>
      </c>
      <c r="N85" s="40"/>
      <c r="O85" s="40">
        <f t="shared" si="2"/>
        <v>24898493</v>
      </c>
      <c r="P85" s="40"/>
      <c r="Q85" s="26"/>
      <c r="U85" s="96">
        <f t="shared" si="4"/>
        <v>0</v>
      </c>
    </row>
    <row r="86" spans="1:21" ht="12.75" customHeight="1">
      <c r="A86" s="23" t="s">
        <v>72</v>
      </c>
      <c r="B86" s="23"/>
      <c r="C86" s="24">
        <f>16215192+176561+981302</f>
        <v>17373055</v>
      </c>
      <c r="D86" s="40"/>
      <c r="E86" s="24">
        <v>32116967</v>
      </c>
      <c r="F86" s="40"/>
      <c r="G86" s="24">
        <f>10254022</f>
        <v>10254022</v>
      </c>
      <c r="H86" s="40"/>
      <c r="I86" s="24">
        <v>12231678</v>
      </c>
      <c r="J86" s="40"/>
      <c r="K86" s="24">
        <f>411842+125922+22500+1071612+10540</f>
        <v>1642416</v>
      </c>
      <c r="L86" s="40"/>
      <c r="M86" s="24">
        <f>972083+15322121+97047+1851622</f>
        <v>18242873</v>
      </c>
      <c r="N86" s="40"/>
      <c r="O86" s="40">
        <f t="shared" si="2"/>
        <v>19885289</v>
      </c>
      <c r="P86" s="40"/>
      <c r="Q86" s="26"/>
      <c r="U86" s="96">
        <f t="shared" si="4"/>
        <v>0</v>
      </c>
    </row>
    <row r="87" spans="1:21" ht="12.75" customHeight="1">
      <c r="A87" s="23" t="s">
        <v>73</v>
      </c>
      <c r="B87" s="23"/>
      <c r="C87" s="24">
        <f>87307147+923991+4943355</f>
        <v>93174493</v>
      </c>
      <c r="D87" s="40"/>
      <c r="E87" s="24">
        <v>227199713</v>
      </c>
      <c r="F87" s="40"/>
      <c r="G87" s="24">
        <v>109407747</v>
      </c>
      <c r="H87" s="40"/>
      <c r="I87" s="24">
        <v>122425751</v>
      </c>
      <c r="J87" s="40"/>
      <c r="K87" s="24">
        <f>18071682+2914587+705177</f>
        <v>21691446</v>
      </c>
      <c r="L87" s="40"/>
      <c r="M87" s="24">
        <f>12982951+65882120+2124365+2093080</f>
        <v>83082516</v>
      </c>
      <c r="N87" s="40"/>
      <c r="O87" s="40">
        <f t="shared" si="2"/>
        <v>104773962</v>
      </c>
      <c r="P87" s="40"/>
      <c r="Q87" s="26"/>
      <c r="U87" s="96">
        <f t="shared" si="4"/>
        <v>0</v>
      </c>
    </row>
    <row r="88" spans="1:21" ht="12.75" customHeight="1" hidden="1">
      <c r="A88" s="23" t="s">
        <v>74</v>
      </c>
      <c r="B88" s="23"/>
      <c r="C88" s="24">
        <v>0</v>
      </c>
      <c r="D88" s="40"/>
      <c r="E88" s="24">
        <v>0</v>
      </c>
      <c r="F88" s="40"/>
      <c r="G88" s="24">
        <v>0</v>
      </c>
      <c r="H88" s="40"/>
      <c r="I88" s="24">
        <v>0</v>
      </c>
      <c r="J88" s="40"/>
      <c r="K88" s="24">
        <v>0</v>
      </c>
      <c r="L88" s="40"/>
      <c r="M88" s="24">
        <v>0</v>
      </c>
      <c r="N88" s="40"/>
      <c r="O88" s="40">
        <f t="shared" si="2"/>
        <v>0</v>
      </c>
      <c r="P88" s="40"/>
      <c r="Q88" s="26"/>
      <c r="U88" s="96">
        <f t="shared" si="4"/>
        <v>0</v>
      </c>
    </row>
    <row r="89" spans="1:21" ht="12.75" customHeight="1">
      <c r="A89" s="23" t="s">
        <v>75</v>
      </c>
      <c r="B89" s="23"/>
      <c r="C89" s="24">
        <f>64781093+279089+48039+478580</f>
        <v>65586801</v>
      </c>
      <c r="D89" s="40"/>
      <c r="E89" s="24">
        <v>132336012</v>
      </c>
      <c r="F89" s="40"/>
      <c r="G89" s="24">
        <v>59946983</v>
      </c>
      <c r="H89" s="40"/>
      <c r="I89" s="24">
        <v>65396916</v>
      </c>
      <c r="J89" s="40"/>
      <c r="K89" s="24">
        <f>8838410+1288498+478580</f>
        <v>10605488</v>
      </c>
      <c r="L89" s="40"/>
      <c r="M89" s="24">
        <f>8801027+38571047+1605580+7355954</f>
        <v>56333608</v>
      </c>
      <c r="N89" s="40"/>
      <c r="O89" s="40">
        <f t="shared" si="2"/>
        <v>66939096</v>
      </c>
      <c r="P89" s="40"/>
      <c r="Q89" s="26"/>
      <c r="U89" s="96">
        <f t="shared" si="4"/>
        <v>0</v>
      </c>
    </row>
    <row r="90" spans="1:21" ht="12.75" customHeight="1">
      <c r="A90" s="23" t="s">
        <v>76</v>
      </c>
      <c r="B90" s="23"/>
      <c r="C90" s="24">
        <f>32839329+63779+1925978</f>
        <v>34829086</v>
      </c>
      <c r="D90" s="40"/>
      <c r="E90" s="24">
        <v>59935116</v>
      </c>
      <c r="F90" s="40"/>
      <c r="G90" s="24">
        <f>13655744</f>
        <v>13655744</v>
      </c>
      <c r="H90" s="40"/>
      <c r="I90" s="24">
        <v>16998868</v>
      </c>
      <c r="J90" s="40"/>
      <c r="K90" s="24">
        <f>1577461+175096+1082099+664468+982570</f>
        <v>4481694</v>
      </c>
      <c r="L90" s="40"/>
      <c r="M90" s="24">
        <f>21768843+6130160+10555551</f>
        <v>38454554</v>
      </c>
      <c r="N90" s="40"/>
      <c r="O90" s="40">
        <f t="shared" si="2"/>
        <v>42936248</v>
      </c>
      <c r="P90" s="40"/>
      <c r="Q90" s="26"/>
      <c r="U90" s="96">
        <f t="shared" si="4"/>
        <v>0</v>
      </c>
    </row>
    <row r="91" spans="1:21" ht="12.75" customHeight="1">
      <c r="A91" s="23" t="s">
        <v>77</v>
      </c>
      <c r="B91" s="23"/>
      <c r="C91" s="24">
        <f>26996977+1949409</f>
        <v>28946386</v>
      </c>
      <c r="D91" s="40"/>
      <c r="E91" s="24">
        <v>50668865</v>
      </c>
      <c r="F91" s="40"/>
      <c r="G91" s="24">
        <f>5342659+12134624</f>
        <v>17477283</v>
      </c>
      <c r="H91" s="40"/>
      <c r="I91" s="24">
        <v>20479291</v>
      </c>
      <c r="J91" s="40"/>
      <c r="K91" s="24">
        <f>925093+1233172+525588+28246+152973</f>
        <v>2865072</v>
      </c>
      <c r="L91" s="40"/>
      <c r="M91" s="24">
        <f>5810986+20160285+1353231</f>
        <v>27324502</v>
      </c>
      <c r="N91" s="40"/>
      <c r="O91" s="40">
        <f t="shared" si="2"/>
        <v>30189574</v>
      </c>
      <c r="P91" s="40"/>
      <c r="Q91" s="26"/>
      <c r="U91" s="96">
        <f t="shared" si="4"/>
        <v>0</v>
      </c>
    </row>
    <row r="92" spans="1:21" ht="12.75" customHeight="1">
      <c r="A92" s="23" t="s">
        <v>78</v>
      </c>
      <c r="B92" s="23"/>
      <c r="C92" s="24">
        <f>7497972+77280+1202+301721</f>
        <v>7878175</v>
      </c>
      <c r="D92" s="40"/>
      <c r="E92" s="24">
        <v>18191383</v>
      </c>
      <c r="F92" s="40"/>
      <c r="G92" s="24">
        <v>8274333</v>
      </c>
      <c r="H92" s="40"/>
      <c r="I92" s="24">
        <v>9519776</v>
      </c>
      <c r="J92" s="40"/>
      <c r="K92" s="24">
        <f>67692+273190+17829</f>
        <v>358711</v>
      </c>
      <c r="L92" s="40"/>
      <c r="M92" s="24">
        <f>880673+7200485+16036+215432</f>
        <v>8312626</v>
      </c>
      <c r="N92" s="40"/>
      <c r="O92" s="40">
        <f t="shared" si="2"/>
        <v>8671337</v>
      </c>
      <c r="P92" s="40"/>
      <c r="Q92" s="26"/>
      <c r="U92" s="96">
        <f t="shared" si="4"/>
        <v>270</v>
      </c>
    </row>
    <row r="93" spans="1:21" ht="12.75" customHeight="1" hidden="1">
      <c r="A93" s="23" t="s">
        <v>79</v>
      </c>
      <c r="B93" s="23"/>
      <c r="C93" s="24">
        <v>0</v>
      </c>
      <c r="D93" s="40"/>
      <c r="E93" s="24">
        <v>0</v>
      </c>
      <c r="F93" s="40"/>
      <c r="G93" s="24">
        <v>0</v>
      </c>
      <c r="H93" s="40"/>
      <c r="I93" s="24">
        <v>0</v>
      </c>
      <c r="J93" s="40"/>
      <c r="K93" s="24">
        <v>0</v>
      </c>
      <c r="L93" s="40"/>
      <c r="M93" s="24">
        <v>0</v>
      </c>
      <c r="N93" s="40"/>
      <c r="O93" s="40">
        <f t="shared" si="2"/>
        <v>0</v>
      </c>
      <c r="P93" s="40"/>
      <c r="Q93" s="26"/>
      <c r="U93" s="96">
        <f t="shared" si="4"/>
        <v>0</v>
      </c>
    </row>
    <row r="94" spans="1:21" ht="12.75" customHeight="1">
      <c r="A94" s="23" t="s">
        <v>80</v>
      </c>
      <c r="B94" s="23"/>
      <c r="C94" s="24">
        <v>115673517</v>
      </c>
      <c r="D94" s="40"/>
      <c r="E94" s="24">
        <v>187022803</v>
      </c>
      <c r="F94" s="40"/>
      <c r="G94" s="24">
        <v>57700430</v>
      </c>
      <c r="H94" s="40"/>
      <c r="I94" s="24">
        <v>69192404</v>
      </c>
      <c r="J94" s="40"/>
      <c r="K94" s="24">
        <f>10094782+261810+784365+12633531+2784030</f>
        <v>26558518</v>
      </c>
      <c r="L94" s="40"/>
      <c r="M94" s="24">
        <f>24911831+59100721+7215720+43609</f>
        <v>91271881</v>
      </c>
      <c r="N94" s="40"/>
      <c r="O94" s="40">
        <f aca="true" t="shared" si="5" ref="O94:O99">+M94+K94</f>
        <v>117830399</v>
      </c>
      <c r="P94" s="40"/>
      <c r="Q94" s="26"/>
      <c r="U94" s="96">
        <f t="shared" si="4"/>
        <v>0</v>
      </c>
    </row>
    <row r="95" spans="1:21" ht="12.75" customHeight="1">
      <c r="A95" s="23" t="s">
        <v>81</v>
      </c>
      <c r="B95" s="23"/>
      <c r="C95" s="24">
        <f>25514102+17902+401394</f>
        <v>25933398</v>
      </c>
      <c r="D95" s="40"/>
      <c r="E95" s="24">
        <v>46118817</v>
      </c>
      <c r="F95" s="40"/>
      <c r="G95" s="24">
        <v>15284394</v>
      </c>
      <c r="H95" s="40"/>
      <c r="I95" s="24">
        <v>17468493</v>
      </c>
      <c r="J95" s="40"/>
      <c r="K95" s="24">
        <f>2191122+57629+2076</f>
        <v>2250827</v>
      </c>
      <c r="L95" s="40"/>
      <c r="M95" s="24">
        <f>8562197+17089127+62165+686008</f>
        <v>26399497</v>
      </c>
      <c r="N95" s="40"/>
      <c r="O95" s="40">
        <f t="shared" si="5"/>
        <v>28650324</v>
      </c>
      <c r="P95" s="40"/>
      <c r="Q95" s="26"/>
      <c r="U95" s="96">
        <f t="shared" si="4"/>
        <v>0</v>
      </c>
    </row>
    <row r="96" spans="1:21" ht="12.75" customHeight="1">
      <c r="A96" s="23" t="s">
        <v>82</v>
      </c>
      <c r="B96" s="23"/>
      <c r="C96" s="24">
        <f>35378451+119424+581695</f>
        <v>36079570</v>
      </c>
      <c r="D96" s="40"/>
      <c r="E96" s="24">
        <v>62356238</v>
      </c>
      <c r="F96" s="40"/>
      <c r="G96" s="24">
        <v>20462273</v>
      </c>
      <c r="H96" s="40"/>
      <c r="I96" s="24">
        <v>25059032</v>
      </c>
      <c r="J96" s="40"/>
      <c r="K96" s="24">
        <f>1843262+266563+494698+315575</f>
        <v>2920098</v>
      </c>
      <c r="L96" s="40"/>
      <c r="M96" s="24">
        <f>400000+5692459+25985120+746855+1552674</f>
        <v>34377108</v>
      </c>
      <c r="N96" s="40"/>
      <c r="O96" s="40">
        <f t="shared" si="5"/>
        <v>37297206</v>
      </c>
      <c r="P96" s="40"/>
      <c r="Q96" s="26"/>
      <c r="U96" s="96">
        <f t="shared" si="4"/>
        <v>0</v>
      </c>
    </row>
    <row r="97" spans="1:21" ht="12.75" customHeight="1" hidden="1">
      <c r="A97" s="23" t="s">
        <v>174</v>
      </c>
      <c r="B97" s="23"/>
      <c r="C97" s="24">
        <v>0</v>
      </c>
      <c r="D97" s="40"/>
      <c r="E97" s="24">
        <v>0</v>
      </c>
      <c r="F97" s="40"/>
      <c r="G97" s="24">
        <v>0</v>
      </c>
      <c r="H97" s="40"/>
      <c r="I97" s="24">
        <v>0</v>
      </c>
      <c r="J97" s="40"/>
      <c r="K97" s="24">
        <v>0</v>
      </c>
      <c r="L97" s="40"/>
      <c r="M97" s="24">
        <v>0</v>
      </c>
      <c r="N97" s="40"/>
      <c r="O97" s="40">
        <f t="shared" si="5"/>
        <v>0</v>
      </c>
      <c r="P97" s="40"/>
      <c r="Q97" s="26"/>
      <c r="U97" s="96">
        <f t="shared" si="4"/>
        <v>0</v>
      </c>
    </row>
    <row r="98" spans="1:21" ht="12.75" customHeight="1">
      <c r="A98" s="23" t="s">
        <v>83</v>
      </c>
      <c r="B98" s="23"/>
      <c r="C98" s="24">
        <f>74424310+127140</f>
        <v>74551450</v>
      </c>
      <c r="D98" s="40"/>
      <c r="E98" s="24">
        <v>120626295</v>
      </c>
      <c r="F98" s="40"/>
      <c r="G98" s="24">
        <v>38407393</v>
      </c>
      <c r="H98" s="40"/>
      <c r="I98" s="24">
        <v>43724663</v>
      </c>
      <c r="J98" s="40"/>
      <c r="K98" s="24">
        <f>3366801+48439298+12636405</f>
        <v>64442504</v>
      </c>
      <c r="L98" s="40"/>
      <c r="M98" s="24">
        <v>12463662</v>
      </c>
      <c r="N98" s="40"/>
      <c r="O98" s="40">
        <f t="shared" si="5"/>
        <v>76906166</v>
      </c>
      <c r="P98" s="40"/>
      <c r="Q98" s="26"/>
      <c r="U98" s="96">
        <f t="shared" si="4"/>
        <v>-4534</v>
      </c>
    </row>
    <row r="99" spans="1:21" ht="12.75" customHeight="1" hidden="1">
      <c r="A99" s="23" t="s">
        <v>175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40">
        <f t="shared" si="5"/>
        <v>0</v>
      </c>
      <c r="P99" s="24"/>
      <c r="Q99" s="26"/>
      <c r="U99" s="96">
        <f t="shared" si="4"/>
        <v>0</v>
      </c>
    </row>
    <row r="100" spans="1:21" ht="12.7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6"/>
      <c r="U100" s="96">
        <f t="shared" si="4"/>
        <v>0</v>
      </c>
    </row>
    <row r="101" spans="1:17" ht="12.7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33"/>
      <c r="Q101" s="26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printOptions/>
  <pageMargins left="0.75" right="0.75" top="0.5" bottom="0.5" header="0" footer="0.25"/>
  <pageSetup firstPageNumber="20" useFirstPageNumber="1" horizontalDpi="1200" verticalDpi="1200" orientation="portrait" pageOrder="overThenDown" r:id="rId1"/>
  <headerFooter scaleWithDoc="0" alignWithMargins="0">
    <oddFooter>&amp;C&amp;"Times New Roman,Regular"&amp;11&amp;P</oddFooter>
  </headerFooter>
  <rowBreaks count="1" manualBreakCount="1">
    <brk id="80" max="19" man="1"/>
  </rowBreaks>
  <colBreaks count="1" manualBreakCount="1">
    <brk id="12" max="9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113"/>
  <sheetViews>
    <sheetView zoomScale="130" zoomScaleNormal="130" zoomScaleSheetLayoutView="75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11" sqref="C11"/>
    </sheetView>
  </sheetViews>
  <sheetFormatPr defaultColWidth="9.140625" defaultRowHeight="12" customHeight="1"/>
  <cols>
    <col min="1" max="1" width="15.7109375" style="138" customWidth="1"/>
    <col min="2" max="2" width="1.7109375" style="2" customWidth="1"/>
    <col min="3" max="3" width="11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2.7109375" style="34" customWidth="1"/>
    <col min="16" max="16" width="1.7109375" style="2" customWidth="1"/>
    <col min="17" max="17" width="12.7109375" style="2" customWidth="1"/>
    <col min="19" max="19" width="10.140625" style="0" bestFit="1" customWidth="1"/>
  </cols>
  <sheetData>
    <row r="1" spans="1:19" s="3" customFormat="1" ht="12.75" customHeight="1">
      <c r="A1" s="57" t="s">
        <v>200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0"/>
      <c r="P1" s="7"/>
      <c r="Q1" s="7"/>
      <c r="R1" s="8"/>
      <c r="S1" s="8"/>
    </row>
    <row r="2" spans="1:19" s="3" customFormat="1" ht="12.75" customHeight="1">
      <c r="A2" s="57" t="s">
        <v>254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0"/>
      <c r="P2" s="7"/>
      <c r="Q2" s="7"/>
      <c r="R2" s="8"/>
      <c r="S2" s="8"/>
    </row>
    <row r="3" spans="1:19" s="3" customFormat="1" ht="12.75" customHeight="1">
      <c r="A3" s="49" t="s">
        <v>249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0"/>
      <c r="P3" s="7"/>
      <c r="Q3" s="7"/>
      <c r="R3" s="8"/>
      <c r="S3" s="8"/>
    </row>
    <row r="4" spans="1:19" s="2" customFormat="1" ht="12.75" customHeight="1">
      <c r="A4" s="57" t="s">
        <v>184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9"/>
      <c r="P4" s="6"/>
      <c r="Q4" s="6"/>
      <c r="R4" s="9"/>
      <c r="S4" s="9"/>
    </row>
    <row r="5" spans="1:19" s="2" customFormat="1" ht="12.75" customHeight="1">
      <c r="A5" s="5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9"/>
      <c r="P5" s="6"/>
      <c r="Q5" s="6"/>
      <c r="R5" s="9"/>
      <c r="S5" s="9"/>
    </row>
    <row r="6" spans="1:19" s="2" customFormat="1" ht="12.75" customHeight="1">
      <c r="A6" s="6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9"/>
      <c r="P6" s="4"/>
      <c r="Q6" s="4"/>
      <c r="R6" s="9"/>
      <c r="S6" s="9" t="s">
        <v>164</v>
      </c>
    </row>
    <row r="7" spans="1:19" s="2" customFormat="1" ht="12.75" customHeight="1">
      <c r="A7" s="134"/>
      <c r="B7" s="4"/>
      <c r="C7" s="4" t="s">
        <v>148</v>
      </c>
      <c r="D7" s="4"/>
      <c r="E7" s="4" t="s">
        <v>167</v>
      </c>
      <c r="F7" s="4"/>
      <c r="G7" s="4" t="s">
        <v>164</v>
      </c>
      <c r="H7" s="4"/>
      <c r="I7" s="4" t="s">
        <v>0</v>
      </c>
      <c r="J7" s="4"/>
      <c r="K7" s="4" t="s">
        <v>1</v>
      </c>
      <c r="L7" s="4"/>
      <c r="M7" s="4" t="s">
        <v>2</v>
      </c>
      <c r="N7" s="4"/>
      <c r="O7" s="19" t="s">
        <v>3</v>
      </c>
      <c r="P7" s="4"/>
      <c r="Q7" s="4" t="s">
        <v>4</v>
      </c>
      <c r="R7" s="9"/>
      <c r="S7" s="9" t="s">
        <v>209</v>
      </c>
    </row>
    <row r="8" spans="1:19" s="2" customFormat="1" ht="12.75" customHeight="1">
      <c r="A8" s="135" t="s">
        <v>5</v>
      </c>
      <c r="B8" s="18"/>
      <c r="C8" s="22" t="s">
        <v>228</v>
      </c>
      <c r="D8" s="18"/>
      <c r="E8" s="22" t="s">
        <v>7</v>
      </c>
      <c r="F8" s="18"/>
      <c r="G8" s="22" t="s">
        <v>6</v>
      </c>
      <c r="H8" s="18"/>
      <c r="I8" s="22" t="s">
        <v>8</v>
      </c>
      <c r="J8" s="18"/>
      <c r="K8" s="22" t="s">
        <v>9</v>
      </c>
      <c r="L8" s="18"/>
      <c r="M8" s="22" t="s">
        <v>10</v>
      </c>
      <c r="N8" s="18"/>
      <c r="O8" s="22" t="s">
        <v>11</v>
      </c>
      <c r="P8" s="18"/>
      <c r="Q8" s="22" t="s">
        <v>12</v>
      </c>
      <c r="R8" s="9"/>
      <c r="S8" s="9" t="s">
        <v>210</v>
      </c>
    </row>
    <row r="9" spans="1:19" s="2" customFormat="1" ht="12.75" customHeight="1">
      <c r="A9" s="134"/>
      <c r="B9" s="18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9"/>
      <c r="S9" s="9"/>
    </row>
    <row r="10" spans="1:19" s="2" customFormat="1" ht="12.75" customHeight="1" hidden="1">
      <c r="A10" s="136" t="s">
        <v>237</v>
      </c>
      <c r="B10" s="18"/>
      <c r="C10" s="46">
        <v>3964487</v>
      </c>
      <c r="D10" s="46"/>
      <c r="E10" s="46">
        <v>0</v>
      </c>
      <c r="F10" s="46"/>
      <c r="G10" s="46">
        <v>0</v>
      </c>
      <c r="H10" s="46"/>
      <c r="I10" s="46">
        <v>1050187</v>
      </c>
      <c r="J10" s="46"/>
      <c r="K10" s="46">
        <v>1274609</v>
      </c>
      <c r="L10" s="46"/>
      <c r="M10" s="46">
        <v>0</v>
      </c>
      <c r="N10" s="45"/>
      <c r="O10" s="61">
        <f>Q10-C10-E10-G10-I10-K10-M10</f>
        <v>482112</v>
      </c>
      <c r="P10" s="45"/>
      <c r="Q10" s="46">
        <v>6771395</v>
      </c>
      <c r="R10" s="9"/>
      <c r="S10" s="48">
        <f>74579+126349</f>
        <v>200928</v>
      </c>
    </row>
    <row r="11" spans="1:19" s="2" customFormat="1" ht="12.75" customHeight="1">
      <c r="A11" s="133" t="s">
        <v>13</v>
      </c>
      <c r="B11" s="18"/>
      <c r="C11" s="46">
        <v>2677694</v>
      </c>
      <c r="D11" s="46"/>
      <c r="E11" s="46">
        <v>13573314</v>
      </c>
      <c r="F11" s="46"/>
      <c r="G11" s="46">
        <v>0</v>
      </c>
      <c r="H11" s="46"/>
      <c r="I11" s="46">
        <v>3820472</v>
      </c>
      <c r="J11" s="46"/>
      <c r="K11" s="46">
        <v>2976610</v>
      </c>
      <c r="L11" s="46"/>
      <c r="M11" s="46">
        <v>0</v>
      </c>
      <c r="N11" s="45"/>
      <c r="O11" s="61">
        <f>Q11-C11-E11-G11-I11-K11-M11</f>
        <v>889613</v>
      </c>
      <c r="P11" s="45"/>
      <c r="Q11" s="46">
        <v>23937703</v>
      </c>
      <c r="R11" s="9"/>
      <c r="S11" s="46">
        <f>21+626885</f>
        <v>626906</v>
      </c>
    </row>
    <row r="12" spans="1:19" s="2" customFormat="1" ht="12.75" customHeight="1">
      <c r="A12" s="133" t="s">
        <v>14</v>
      </c>
      <c r="B12" s="18"/>
      <c r="C12" s="16">
        <f>2217307</f>
        <v>2217307</v>
      </c>
      <c r="D12" s="16"/>
      <c r="E12" s="16">
        <v>4806536</v>
      </c>
      <c r="F12" s="16"/>
      <c r="G12" s="16">
        <f>10895+4617</f>
        <v>15512</v>
      </c>
      <c r="H12" s="16"/>
      <c r="I12" s="16">
        <v>1650206</v>
      </c>
      <c r="J12" s="16"/>
      <c r="K12" s="16">
        <v>2034155</v>
      </c>
      <c r="L12" s="16"/>
      <c r="M12" s="16">
        <v>0</v>
      </c>
      <c r="N12" s="14"/>
      <c r="O12" s="40">
        <f>Q12-C12-E12-G12-I12-K12-M12</f>
        <v>833458</v>
      </c>
      <c r="P12" s="14"/>
      <c r="Q12" s="16">
        <v>11557174</v>
      </c>
      <c r="R12" s="9"/>
      <c r="S12" s="16">
        <f>0</f>
        <v>0</v>
      </c>
    </row>
    <row r="13" spans="1:19" s="2" customFormat="1" ht="12.75" customHeight="1">
      <c r="A13" s="133" t="s">
        <v>15</v>
      </c>
      <c r="B13" s="18"/>
      <c r="C13" s="16">
        <v>3608007</v>
      </c>
      <c r="D13" s="16"/>
      <c r="E13" s="16">
        <v>8537786</v>
      </c>
      <c r="F13" s="16"/>
      <c r="G13" s="16">
        <v>0</v>
      </c>
      <c r="H13" s="16"/>
      <c r="I13" s="16">
        <v>3446268</v>
      </c>
      <c r="J13" s="16"/>
      <c r="K13" s="16">
        <v>2886061</v>
      </c>
      <c r="L13" s="16"/>
      <c r="M13" s="16">
        <v>0</v>
      </c>
      <c r="N13" s="14"/>
      <c r="O13" s="40">
        <f aca="true" t="shared" si="0" ref="O13:O71">Q13-C13-E13-G13-I13-K13-M13</f>
        <v>1124715</v>
      </c>
      <c r="P13" s="14"/>
      <c r="Q13" s="16">
        <v>19602837</v>
      </c>
      <c r="R13" s="9"/>
      <c r="S13" s="16">
        <f>396057+209717+174313</f>
        <v>780087</v>
      </c>
    </row>
    <row r="14" spans="1:19" s="2" customFormat="1" ht="12.75" customHeight="1">
      <c r="A14" s="133" t="s">
        <v>16</v>
      </c>
      <c r="B14" s="18"/>
      <c r="C14" s="16">
        <v>1931136</v>
      </c>
      <c r="D14" s="16"/>
      <c r="E14" s="16">
        <v>5388914</v>
      </c>
      <c r="F14" s="16"/>
      <c r="G14" s="16">
        <v>0</v>
      </c>
      <c r="H14" s="16"/>
      <c r="I14" s="16">
        <v>2039389</v>
      </c>
      <c r="J14" s="16"/>
      <c r="K14" s="16">
        <v>1878895</v>
      </c>
      <c r="L14" s="16"/>
      <c r="M14" s="16">
        <v>0</v>
      </c>
      <c r="N14" s="14"/>
      <c r="O14" s="40">
        <f t="shared" si="0"/>
        <v>1398098</v>
      </c>
      <c r="P14" s="14"/>
      <c r="Q14" s="16">
        <v>12636432</v>
      </c>
      <c r="R14" s="9"/>
      <c r="S14" s="16">
        <v>94417</v>
      </c>
    </row>
    <row r="15" spans="1:19" s="2" customFormat="1" ht="12.75" customHeight="1">
      <c r="A15" s="133" t="s">
        <v>17</v>
      </c>
      <c r="B15" s="18"/>
      <c r="C15" s="16">
        <v>1936171</v>
      </c>
      <c r="D15" s="16"/>
      <c r="E15" s="16">
        <v>6553932</v>
      </c>
      <c r="F15" s="16"/>
      <c r="G15" s="16">
        <v>0</v>
      </c>
      <c r="H15" s="16"/>
      <c r="I15" s="16">
        <v>1312141</v>
      </c>
      <c r="J15" s="16"/>
      <c r="K15" s="16">
        <v>1660340</v>
      </c>
      <c r="L15" s="16"/>
      <c r="M15" s="16">
        <v>0</v>
      </c>
      <c r="N15" s="14"/>
      <c r="O15" s="40">
        <f t="shared" si="0"/>
        <v>840420</v>
      </c>
      <c r="P15" s="14"/>
      <c r="Q15" s="16">
        <v>12303004</v>
      </c>
      <c r="R15" s="9"/>
      <c r="S15" s="16">
        <f>3461+7626+1759</f>
        <v>12846</v>
      </c>
    </row>
    <row r="16" spans="1:19" s="2" customFormat="1" ht="12.75" customHeight="1">
      <c r="A16" s="133" t="s">
        <v>18</v>
      </c>
      <c r="B16" s="18"/>
      <c r="C16" s="16">
        <v>2033140</v>
      </c>
      <c r="D16" s="16"/>
      <c r="E16" s="16">
        <v>11278397</v>
      </c>
      <c r="F16" s="16"/>
      <c r="G16" s="16">
        <v>0</v>
      </c>
      <c r="H16" s="16"/>
      <c r="I16" s="16">
        <v>1813384</v>
      </c>
      <c r="J16" s="16"/>
      <c r="K16" s="16">
        <v>1326999</v>
      </c>
      <c r="L16" s="16"/>
      <c r="M16" s="16">
        <v>0</v>
      </c>
      <c r="N16" s="14"/>
      <c r="O16" s="40">
        <f t="shared" si="0"/>
        <v>1602159</v>
      </c>
      <c r="P16" s="14"/>
      <c r="Q16" s="16">
        <v>18054079</v>
      </c>
      <c r="R16" s="9"/>
      <c r="S16" s="16">
        <f>92251+142873+186935</f>
        <v>422059</v>
      </c>
    </row>
    <row r="17" spans="1:19" s="2" customFormat="1" ht="12.75" customHeight="1" hidden="1">
      <c r="A17" s="133" t="s">
        <v>240</v>
      </c>
      <c r="B17" s="18"/>
      <c r="C17" s="16">
        <v>0</v>
      </c>
      <c r="D17" s="16"/>
      <c r="E17" s="16">
        <v>0</v>
      </c>
      <c r="F17" s="16"/>
      <c r="G17" s="16">
        <v>0</v>
      </c>
      <c r="H17" s="16"/>
      <c r="I17" s="16">
        <v>0</v>
      </c>
      <c r="J17" s="16"/>
      <c r="K17" s="16">
        <v>0</v>
      </c>
      <c r="L17" s="16"/>
      <c r="M17" s="16">
        <v>0</v>
      </c>
      <c r="N17" s="14"/>
      <c r="O17" s="40">
        <f t="shared" si="0"/>
        <v>0</v>
      </c>
      <c r="P17" s="14"/>
      <c r="Q17" s="16">
        <v>0</v>
      </c>
      <c r="R17" s="9"/>
      <c r="S17" s="16">
        <v>0</v>
      </c>
    </row>
    <row r="18" spans="1:19" s="2" customFormat="1" ht="12.75" customHeight="1" hidden="1">
      <c r="A18" s="133" t="s">
        <v>248</v>
      </c>
      <c r="B18" s="18"/>
      <c r="C18" s="16">
        <v>0</v>
      </c>
      <c r="D18" s="16"/>
      <c r="E18" s="16">
        <v>0</v>
      </c>
      <c r="F18" s="16"/>
      <c r="G18" s="16">
        <v>0</v>
      </c>
      <c r="H18" s="16"/>
      <c r="I18" s="16">
        <v>0</v>
      </c>
      <c r="J18" s="16"/>
      <c r="K18" s="16">
        <v>0</v>
      </c>
      <c r="L18" s="16"/>
      <c r="M18" s="16">
        <v>0</v>
      </c>
      <c r="N18" s="14"/>
      <c r="O18" s="40">
        <f t="shared" si="0"/>
        <v>0</v>
      </c>
      <c r="P18" s="14"/>
      <c r="Q18" s="16">
        <v>0</v>
      </c>
      <c r="R18" s="9"/>
      <c r="S18" s="16">
        <v>0</v>
      </c>
    </row>
    <row r="19" spans="1:19" s="2" customFormat="1" ht="12.75" customHeight="1">
      <c r="A19" s="133" t="s">
        <v>20</v>
      </c>
      <c r="B19" s="18"/>
      <c r="C19" s="16">
        <v>1612432</v>
      </c>
      <c r="D19" s="16"/>
      <c r="E19" s="16">
        <v>1808612</v>
      </c>
      <c r="F19" s="16"/>
      <c r="G19" s="16">
        <v>0</v>
      </c>
      <c r="H19" s="16"/>
      <c r="I19" s="16">
        <v>973975</v>
      </c>
      <c r="J19" s="16"/>
      <c r="K19" s="16">
        <v>777385</v>
      </c>
      <c r="L19" s="16"/>
      <c r="M19" s="16">
        <v>0</v>
      </c>
      <c r="N19" s="14"/>
      <c r="O19" s="40">
        <f t="shared" si="0"/>
        <v>444217</v>
      </c>
      <c r="P19" s="14"/>
      <c r="Q19" s="16">
        <v>5616621</v>
      </c>
      <c r="R19" s="9"/>
      <c r="S19" s="16">
        <f>61650+43770</f>
        <v>105420</v>
      </c>
    </row>
    <row r="20" spans="1:19" s="2" customFormat="1" ht="12.75" customHeight="1" hidden="1">
      <c r="A20" s="133" t="s">
        <v>172</v>
      </c>
      <c r="B20" s="18"/>
      <c r="C20" s="16">
        <v>0</v>
      </c>
      <c r="D20" s="16"/>
      <c r="E20" s="16">
        <v>0</v>
      </c>
      <c r="F20" s="16"/>
      <c r="G20" s="16">
        <v>0</v>
      </c>
      <c r="H20" s="16"/>
      <c r="I20" s="16">
        <v>0</v>
      </c>
      <c r="J20" s="16"/>
      <c r="K20" s="16">
        <v>0</v>
      </c>
      <c r="L20" s="16"/>
      <c r="M20" s="16">
        <v>0</v>
      </c>
      <c r="N20" s="14"/>
      <c r="O20" s="40">
        <f t="shared" si="0"/>
        <v>0</v>
      </c>
      <c r="P20" s="14"/>
      <c r="Q20" s="16">
        <v>0</v>
      </c>
      <c r="R20" s="9"/>
      <c r="S20" s="16">
        <v>0</v>
      </c>
    </row>
    <row r="21" spans="1:19" s="2" customFormat="1" ht="12.75" customHeight="1">
      <c r="A21" s="133" t="s">
        <v>21</v>
      </c>
      <c r="B21" s="18"/>
      <c r="C21" s="16">
        <v>3443154</v>
      </c>
      <c r="D21" s="16"/>
      <c r="E21" s="16">
        <v>19451080</v>
      </c>
      <c r="F21" s="16"/>
      <c r="G21" s="16">
        <v>0</v>
      </c>
      <c r="H21" s="16"/>
      <c r="I21" s="16">
        <v>4167729</v>
      </c>
      <c r="J21" s="16"/>
      <c r="K21" s="16">
        <v>6352528</v>
      </c>
      <c r="L21" s="16"/>
      <c r="M21" s="16">
        <v>0</v>
      </c>
      <c r="N21" s="14"/>
      <c r="O21" s="40">
        <f t="shared" si="0"/>
        <v>1597924</v>
      </c>
      <c r="P21" s="14"/>
      <c r="Q21" s="16">
        <v>35012415</v>
      </c>
      <c r="R21" s="9"/>
      <c r="S21" s="16">
        <f>14995+255090</f>
        <v>270085</v>
      </c>
    </row>
    <row r="22" spans="1:19" s="2" customFormat="1" ht="12.75" customHeight="1">
      <c r="A22" s="133" t="s">
        <v>181</v>
      </c>
      <c r="B22" s="18"/>
      <c r="C22" s="16">
        <v>8383206</v>
      </c>
      <c r="D22" s="16"/>
      <c r="E22" s="16">
        <v>20007076</v>
      </c>
      <c r="F22" s="16"/>
      <c r="G22" s="16">
        <v>0</v>
      </c>
      <c r="H22" s="16"/>
      <c r="I22" s="16">
        <v>9730352</v>
      </c>
      <c r="J22" s="16"/>
      <c r="K22" s="16">
        <v>4886986</v>
      </c>
      <c r="L22" s="16"/>
      <c r="M22" s="16">
        <v>0</v>
      </c>
      <c r="N22" s="14"/>
      <c r="O22" s="40">
        <f t="shared" si="0"/>
        <v>4545708</v>
      </c>
      <c r="P22" s="14"/>
      <c r="Q22" s="16">
        <v>47553328</v>
      </c>
      <c r="R22" s="9"/>
      <c r="S22" s="16">
        <f>823997+40480</f>
        <v>864477</v>
      </c>
    </row>
    <row r="23" spans="1:19" s="2" customFormat="1" ht="12.75" customHeight="1">
      <c r="A23" s="133" t="s">
        <v>22</v>
      </c>
      <c r="B23" s="18"/>
      <c r="C23" s="16">
        <v>1662770</v>
      </c>
      <c r="D23" s="16"/>
      <c r="E23" s="16">
        <v>6136736</v>
      </c>
      <c r="F23" s="16"/>
      <c r="G23" s="16">
        <v>0</v>
      </c>
      <c r="H23" s="16"/>
      <c r="I23" s="16">
        <v>1740090</v>
      </c>
      <c r="J23" s="16"/>
      <c r="K23" s="16">
        <v>1219679</v>
      </c>
      <c r="L23" s="16"/>
      <c r="M23" s="16">
        <v>0</v>
      </c>
      <c r="N23" s="14"/>
      <c r="O23" s="40">
        <f t="shared" si="0"/>
        <v>1477130</v>
      </c>
      <c r="P23" s="14"/>
      <c r="Q23" s="16">
        <v>12236405</v>
      </c>
      <c r="R23" s="9"/>
      <c r="S23" s="16">
        <f>38734+15000000</f>
        <v>15038734</v>
      </c>
    </row>
    <row r="24" spans="1:19" s="2" customFormat="1" ht="12.75" customHeight="1" hidden="1">
      <c r="A24" s="133" t="s">
        <v>180</v>
      </c>
      <c r="B24" s="18"/>
      <c r="C24" s="16">
        <v>0</v>
      </c>
      <c r="D24" s="16"/>
      <c r="E24" s="16">
        <v>0</v>
      </c>
      <c r="F24" s="16"/>
      <c r="G24" s="16">
        <v>0</v>
      </c>
      <c r="H24" s="16"/>
      <c r="I24" s="16">
        <v>0</v>
      </c>
      <c r="J24" s="16"/>
      <c r="K24" s="16">
        <v>0</v>
      </c>
      <c r="L24" s="16"/>
      <c r="M24" s="16">
        <v>0</v>
      </c>
      <c r="N24" s="14"/>
      <c r="O24" s="40">
        <f>Q24-C24-E24-G24-I24-K24-M24</f>
        <v>0</v>
      </c>
      <c r="P24" s="14"/>
      <c r="Q24" s="16">
        <v>0</v>
      </c>
      <c r="R24" s="9"/>
      <c r="S24" s="16">
        <v>0</v>
      </c>
    </row>
    <row r="25" spans="1:19" s="2" customFormat="1" ht="12.75" customHeight="1">
      <c r="A25" s="133" t="s">
        <v>24</v>
      </c>
      <c r="B25" s="18"/>
      <c r="C25" s="16">
        <v>1402181</v>
      </c>
      <c r="D25" s="16"/>
      <c r="E25" s="16">
        <v>4309885</v>
      </c>
      <c r="F25" s="16"/>
      <c r="G25" s="16">
        <v>1548</v>
      </c>
      <c r="H25" s="16"/>
      <c r="I25" s="16">
        <v>1062959</v>
      </c>
      <c r="J25" s="16"/>
      <c r="K25" s="16">
        <v>1428292</v>
      </c>
      <c r="L25" s="16"/>
      <c r="M25" s="16">
        <v>0</v>
      </c>
      <c r="N25" s="14"/>
      <c r="O25" s="40">
        <f>Q25-C25-E25-G25-I25-K25-M25</f>
        <v>1038077</v>
      </c>
      <c r="P25" s="14"/>
      <c r="Q25" s="16">
        <v>9242942</v>
      </c>
      <c r="R25" s="9"/>
      <c r="S25" s="16">
        <v>47842</v>
      </c>
    </row>
    <row r="26" spans="1:19" s="2" customFormat="1" ht="12.75" customHeight="1">
      <c r="A26" s="133" t="s">
        <v>243</v>
      </c>
      <c r="B26" s="18"/>
      <c r="C26" s="16">
        <v>1224142</v>
      </c>
      <c r="D26" s="16"/>
      <c r="E26" s="16">
        <v>2974185</v>
      </c>
      <c r="F26" s="16"/>
      <c r="G26" s="16">
        <v>0</v>
      </c>
      <c r="H26" s="16"/>
      <c r="I26" s="16">
        <v>2431580</v>
      </c>
      <c r="J26" s="16"/>
      <c r="K26" s="16">
        <v>1608450</v>
      </c>
      <c r="L26" s="16"/>
      <c r="M26" s="16">
        <v>39903</v>
      </c>
      <c r="N26" s="14"/>
      <c r="O26" s="40">
        <f t="shared" si="0"/>
        <v>717388</v>
      </c>
      <c r="P26" s="14"/>
      <c r="Q26" s="16">
        <v>8995648</v>
      </c>
      <c r="R26" s="9"/>
      <c r="S26" s="16">
        <v>0</v>
      </c>
    </row>
    <row r="27" spans="1:19" s="2" customFormat="1" ht="12.75" customHeight="1">
      <c r="A27" s="133" t="s">
        <v>25</v>
      </c>
      <c r="B27" s="18"/>
      <c r="C27" s="16">
        <f>18973*1000</f>
        <v>18973000</v>
      </c>
      <c r="D27" s="16"/>
      <c r="E27" s="16">
        <f>194026*1000</f>
        <v>194026000</v>
      </c>
      <c r="F27" s="16"/>
      <c r="G27" s="16">
        <f>4*1000</f>
        <v>4000</v>
      </c>
      <c r="H27" s="16"/>
      <c r="I27" s="16">
        <f>49030*1000</f>
        <v>49030000</v>
      </c>
      <c r="J27" s="16"/>
      <c r="K27" s="16">
        <f>32422*1000</f>
        <v>32422000</v>
      </c>
      <c r="L27" s="16"/>
      <c r="M27" s="16">
        <v>0</v>
      </c>
      <c r="N27" s="14"/>
      <c r="O27" s="40">
        <f t="shared" si="0"/>
        <v>46361000</v>
      </c>
      <c r="P27" s="14"/>
      <c r="Q27" s="16">
        <f>340816*1000</f>
        <v>340816000</v>
      </c>
      <c r="R27" s="9"/>
      <c r="S27" s="16">
        <f>1642*1000</f>
        <v>1642000</v>
      </c>
    </row>
    <row r="28" spans="1:19" s="2" customFormat="1" ht="12.75" customHeight="1" hidden="1">
      <c r="A28" s="133" t="s">
        <v>26</v>
      </c>
      <c r="B28" s="18"/>
      <c r="C28" s="16">
        <v>0</v>
      </c>
      <c r="D28" s="16"/>
      <c r="E28" s="16">
        <v>0</v>
      </c>
      <c r="F28" s="16"/>
      <c r="G28" s="16">
        <v>0</v>
      </c>
      <c r="H28" s="16"/>
      <c r="I28" s="16">
        <v>0</v>
      </c>
      <c r="J28" s="16"/>
      <c r="K28" s="16">
        <v>0</v>
      </c>
      <c r="L28" s="16"/>
      <c r="M28" s="16">
        <v>0</v>
      </c>
      <c r="N28" s="14"/>
      <c r="O28" s="40">
        <f t="shared" si="0"/>
        <v>0</v>
      </c>
      <c r="P28" s="14"/>
      <c r="Q28" s="16">
        <v>0</v>
      </c>
      <c r="R28" s="9"/>
      <c r="S28" s="16">
        <v>0</v>
      </c>
    </row>
    <row r="29" spans="1:19" s="2" customFormat="1" ht="12.75" customHeight="1">
      <c r="A29" s="133" t="s">
        <v>27</v>
      </c>
      <c r="B29" s="18"/>
      <c r="C29" s="16">
        <f>1689378</f>
        <v>1689378</v>
      </c>
      <c r="D29" s="16"/>
      <c r="E29" s="16">
        <f>4394684</f>
        <v>4394684</v>
      </c>
      <c r="F29" s="16"/>
      <c r="G29" s="16">
        <v>0</v>
      </c>
      <c r="H29" s="16"/>
      <c r="I29" s="16">
        <v>1015761</v>
      </c>
      <c r="J29" s="16"/>
      <c r="K29" s="16">
        <v>1388317</v>
      </c>
      <c r="L29" s="16"/>
      <c r="M29" s="16">
        <v>0</v>
      </c>
      <c r="N29" s="14"/>
      <c r="O29" s="40">
        <f t="shared" si="0"/>
        <v>1713228</v>
      </c>
      <c r="P29" s="14"/>
      <c r="Q29" s="16">
        <f>10201368</f>
        <v>10201368</v>
      </c>
      <c r="R29" s="9"/>
      <c r="S29" s="16">
        <f>16217+70545</f>
        <v>86762</v>
      </c>
    </row>
    <row r="30" spans="1:19" s="2" customFormat="1" ht="12.75" customHeight="1">
      <c r="A30" s="133" t="s">
        <v>28</v>
      </c>
      <c r="B30" s="18"/>
      <c r="C30" s="16">
        <v>10042951</v>
      </c>
      <c r="D30" s="16"/>
      <c r="E30" s="16">
        <v>38088578</v>
      </c>
      <c r="F30" s="16"/>
      <c r="G30" s="16">
        <v>0</v>
      </c>
      <c r="H30" s="16"/>
      <c r="I30" s="16">
        <v>10736908</v>
      </c>
      <c r="J30" s="16"/>
      <c r="K30" s="16">
        <v>4735912</v>
      </c>
      <c r="L30" s="16"/>
      <c r="M30" s="16">
        <v>0</v>
      </c>
      <c r="N30" s="14"/>
      <c r="O30" s="40">
        <f t="shared" si="0"/>
        <v>4116816</v>
      </c>
      <c r="P30" s="14"/>
      <c r="Q30" s="16">
        <v>67721165</v>
      </c>
      <c r="R30" s="9"/>
      <c r="S30" s="16">
        <f>25000</f>
        <v>25000</v>
      </c>
    </row>
    <row r="31" spans="1:19" s="2" customFormat="1" ht="12.75" customHeight="1">
      <c r="A31" s="133" t="s">
        <v>29</v>
      </c>
      <c r="B31" s="18"/>
      <c r="C31" s="16">
        <v>4176480</v>
      </c>
      <c r="D31" s="16"/>
      <c r="E31" s="16">
        <v>12632831</v>
      </c>
      <c r="F31" s="16"/>
      <c r="G31" s="16">
        <v>0</v>
      </c>
      <c r="H31" s="16"/>
      <c r="I31" s="16">
        <v>2941502</v>
      </c>
      <c r="J31" s="16"/>
      <c r="K31" s="16">
        <v>3325902</v>
      </c>
      <c r="L31" s="16"/>
      <c r="M31" s="16">
        <v>0</v>
      </c>
      <c r="N31" s="14"/>
      <c r="O31" s="40">
        <f t="shared" si="0"/>
        <v>2526419</v>
      </c>
      <c r="P31" s="14"/>
      <c r="Q31" s="16">
        <v>25603134</v>
      </c>
      <c r="R31" s="9"/>
      <c r="S31" s="16">
        <v>11294</v>
      </c>
    </row>
    <row r="32" spans="1:19" s="2" customFormat="1" ht="12.75" customHeight="1">
      <c r="A32" s="133" t="s">
        <v>30</v>
      </c>
      <c r="B32" s="18"/>
      <c r="C32" s="16">
        <v>7333985</v>
      </c>
      <c r="D32" s="16"/>
      <c r="E32" s="16">
        <f>1102603+15898127</f>
        <v>17000730</v>
      </c>
      <c r="F32" s="16"/>
      <c r="G32" s="16">
        <v>0</v>
      </c>
      <c r="H32" s="16"/>
      <c r="I32" s="16">
        <v>4507288</v>
      </c>
      <c r="J32" s="16"/>
      <c r="K32" s="16">
        <v>4487775</v>
      </c>
      <c r="L32" s="16"/>
      <c r="M32" s="16">
        <v>0</v>
      </c>
      <c r="N32" s="14"/>
      <c r="O32" s="40">
        <f t="shared" si="0"/>
        <v>1461270</v>
      </c>
      <c r="P32" s="14"/>
      <c r="Q32" s="16">
        <v>34791048</v>
      </c>
      <c r="R32" s="9"/>
      <c r="S32" s="16">
        <f>7796+776077+47135</f>
        <v>831008</v>
      </c>
    </row>
    <row r="33" spans="1:19" s="2" customFormat="1" ht="12.75" customHeight="1" hidden="1">
      <c r="A33" s="133" t="s">
        <v>239</v>
      </c>
      <c r="B33" s="18"/>
      <c r="C33" s="16">
        <v>0</v>
      </c>
      <c r="D33" s="16"/>
      <c r="E33" s="16">
        <v>0</v>
      </c>
      <c r="F33" s="16"/>
      <c r="G33" s="16">
        <v>0</v>
      </c>
      <c r="H33" s="16"/>
      <c r="I33" s="16">
        <v>0</v>
      </c>
      <c r="J33" s="16"/>
      <c r="K33" s="16">
        <v>0</v>
      </c>
      <c r="L33" s="16"/>
      <c r="M33" s="16">
        <v>0</v>
      </c>
      <c r="N33" s="14"/>
      <c r="O33" s="40">
        <f t="shared" si="0"/>
        <v>0</v>
      </c>
      <c r="P33" s="14"/>
      <c r="Q33" s="16">
        <v>0</v>
      </c>
      <c r="R33" s="9"/>
      <c r="S33" s="16">
        <v>0</v>
      </c>
    </row>
    <row r="34" spans="1:19" s="2" customFormat="1" ht="12.75" customHeight="1">
      <c r="A34" s="133" t="s">
        <v>32</v>
      </c>
      <c r="B34" s="18"/>
      <c r="C34" s="16">
        <f>39766*1000</f>
        <v>39766000</v>
      </c>
      <c r="D34" s="16"/>
      <c r="E34" s="16">
        <f>130621*1000</f>
        <v>130621000</v>
      </c>
      <c r="F34" s="16"/>
      <c r="G34" s="16">
        <v>0</v>
      </c>
      <c r="H34" s="16"/>
      <c r="I34" s="16">
        <f>49903*1000</f>
        <v>49903000</v>
      </c>
      <c r="J34" s="16"/>
      <c r="K34" s="16">
        <f>41064*1000</f>
        <v>41064000</v>
      </c>
      <c r="L34" s="16"/>
      <c r="M34" s="16">
        <v>0</v>
      </c>
      <c r="N34" s="14"/>
      <c r="O34" s="40">
        <f t="shared" si="0"/>
        <v>23825000</v>
      </c>
      <c r="P34" s="14"/>
      <c r="Q34" s="16">
        <f>285179*1000</f>
        <v>285179000</v>
      </c>
      <c r="R34" s="9"/>
      <c r="S34" s="132">
        <f>69*1000</f>
        <v>69000</v>
      </c>
    </row>
    <row r="35" spans="1:19" s="2" customFormat="1" ht="12.75" customHeight="1">
      <c r="A35" s="133" t="s">
        <v>33</v>
      </c>
      <c r="B35" s="18"/>
      <c r="C35" s="16">
        <v>1578830</v>
      </c>
      <c r="D35" s="16"/>
      <c r="E35" s="16">
        <v>5598907</v>
      </c>
      <c r="F35" s="16"/>
      <c r="G35" s="16">
        <v>0</v>
      </c>
      <c r="H35" s="16"/>
      <c r="I35" s="16">
        <v>1399005</v>
      </c>
      <c r="J35" s="16"/>
      <c r="K35" s="16">
        <v>1578483</v>
      </c>
      <c r="L35" s="16"/>
      <c r="M35" s="16">
        <v>0</v>
      </c>
      <c r="N35" s="14"/>
      <c r="O35" s="40">
        <f t="shared" si="0"/>
        <v>1759124</v>
      </c>
      <c r="P35" s="14"/>
      <c r="Q35" s="16">
        <v>11914349</v>
      </c>
      <c r="R35" s="9"/>
      <c r="S35" s="16">
        <f>32048+10976+25000</f>
        <v>68024</v>
      </c>
    </row>
    <row r="36" spans="1:19" s="2" customFormat="1" ht="12.75" customHeight="1">
      <c r="A36" s="133" t="s">
        <v>34</v>
      </c>
      <c r="B36" s="18"/>
      <c r="C36" s="16">
        <v>1981970</v>
      </c>
      <c r="D36" s="16"/>
      <c r="E36" s="16">
        <v>3258247</v>
      </c>
      <c r="F36" s="16"/>
      <c r="G36" s="16">
        <v>0</v>
      </c>
      <c r="H36" s="16"/>
      <c r="I36" s="16">
        <v>1359497</v>
      </c>
      <c r="J36" s="16"/>
      <c r="K36" s="16">
        <v>1340037</v>
      </c>
      <c r="L36" s="16"/>
      <c r="M36" s="16">
        <v>0</v>
      </c>
      <c r="N36" s="14"/>
      <c r="O36" s="40">
        <f t="shared" si="0"/>
        <v>422827</v>
      </c>
      <c r="P36" s="14"/>
      <c r="Q36" s="16">
        <v>8362578</v>
      </c>
      <c r="R36" s="9"/>
      <c r="S36" s="16">
        <v>0</v>
      </c>
    </row>
    <row r="37" spans="1:19" s="2" customFormat="1" ht="12.75" customHeight="1">
      <c r="A37" s="133" t="s">
        <v>35</v>
      </c>
      <c r="B37" s="18"/>
      <c r="C37" s="16">
        <v>7540507</v>
      </c>
      <c r="D37" s="16"/>
      <c r="E37" s="16">
        <v>10475204</v>
      </c>
      <c r="F37" s="16"/>
      <c r="G37" s="16">
        <v>0</v>
      </c>
      <c r="H37" s="16"/>
      <c r="I37" s="16">
        <v>2825757</v>
      </c>
      <c r="J37" s="16"/>
      <c r="K37" s="16">
        <v>3147148</v>
      </c>
      <c r="L37" s="16"/>
      <c r="M37" s="16">
        <v>0</v>
      </c>
      <c r="N37" s="14"/>
      <c r="O37" s="40">
        <f t="shared" si="0"/>
        <v>2114818</v>
      </c>
      <c r="P37" s="14"/>
      <c r="Q37" s="16">
        <v>26103434</v>
      </c>
      <c r="R37" s="9"/>
      <c r="S37" s="16">
        <f>7405</f>
        <v>7405</v>
      </c>
    </row>
    <row r="38" spans="1:19" s="2" customFormat="1" ht="12.75" customHeight="1">
      <c r="A38" s="133" t="s">
        <v>182</v>
      </c>
      <c r="B38" s="18"/>
      <c r="C38" s="16">
        <v>29555751</v>
      </c>
      <c r="D38" s="16"/>
      <c r="E38" s="16">
        <v>0</v>
      </c>
      <c r="F38" s="16"/>
      <c r="G38" s="16">
        <v>0</v>
      </c>
      <c r="H38" s="16"/>
      <c r="I38" s="16">
        <v>5088681</v>
      </c>
      <c r="J38" s="16"/>
      <c r="K38" s="16">
        <v>5354949</v>
      </c>
      <c r="L38" s="16"/>
      <c r="M38" s="16">
        <v>75193</v>
      </c>
      <c r="N38" s="14"/>
      <c r="O38" s="40">
        <f t="shared" si="0"/>
        <v>3262262</v>
      </c>
      <c r="P38" s="14"/>
      <c r="Q38" s="16">
        <v>43336836</v>
      </c>
      <c r="R38" s="9"/>
      <c r="S38" s="16">
        <f>25455+824020</f>
        <v>849475</v>
      </c>
    </row>
    <row r="39" spans="1:19" s="2" customFormat="1" ht="12.75" customHeight="1" hidden="1">
      <c r="A39" s="133" t="s">
        <v>244</v>
      </c>
      <c r="B39" s="18"/>
      <c r="C39" s="24">
        <v>0</v>
      </c>
      <c r="D39" s="16"/>
      <c r="E39" s="24">
        <v>0</v>
      </c>
      <c r="F39" s="16"/>
      <c r="G39" s="24">
        <v>0</v>
      </c>
      <c r="H39" s="16"/>
      <c r="I39" s="24">
        <v>0</v>
      </c>
      <c r="J39" s="16"/>
      <c r="K39" s="24">
        <v>0</v>
      </c>
      <c r="L39" s="16"/>
      <c r="M39" s="24">
        <v>0</v>
      </c>
      <c r="N39" s="14"/>
      <c r="O39" s="40">
        <f t="shared" si="0"/>
        <v>0</v>
      </c>
      <c r="P39" s="14"/>
      <c r="Q39" s="24">
        <v>0</v>
      </c>
      <c r="R39" s="9"/>
      <c r="S39" s="24">
        <v>0</v>
      </c>
    </row>
    <row r="40" spans="1:19" s="2" customFormat="1" ht="12.75" customHeight="1" hidden="1">
      <c r="A40" s="133" t="s">
        <v>37</v>
      </c>
      <c r="B40" s="18"/>
      <c r="C40" s="24">
        <v>0</v>
      </c>
      <c r="D40" s="16"/>
      <c r="E40" s="24">
        <v>0</v>
      </c>
      <c r="F40" s="16"/>
      <c r="G40" s="24">
        <v>0</v>
      </c>
      <c r="H40" s="16"/>
      <c r="I40" s="24">
        <v>0</v>
      </c>
      <c r="J40" s="16"/>
      <c r="K40" s="24">
        <v>0</v>
      </c>
      <c r="L40" s="16"/>
      <c r="M40" s="24">
        <v>0</v>
      </c>
      <c r="N40" s="14"/>
      <c r="O40" s="40">
        <f t="shared" si="0"/>
        <v>0</v>
      </c>
      <c r="P40" s="14"/>
      <c r="Q40" s="24">
        <v>0</v>
      </c>
      <c r="R40" s="9"/>
      <c r="S40" s="24">
        <v>0</v>
      </c>
    </row>
    <row r="41" spans="1:19" s="2" customFormat="1" ht="12.75" customHeight="1">
      <c r="A41" s="133" t="s">
        <v>38</v>
      </c>
      <c r="B41" s="18"/>
      <c r="C41" s="24">
        <v>1763481</v>
      </c>
      <c r="D41" s="16"/>
      <c r="E41" s="24">
        <v>11211027</v>
      </c>
      <c r="F41" s="16"/>
      <c r="G41" s="24">
        <v>0</v>
      </c>
      <c r="H41" s="16"/>
      <c r="I41" s="24">
        <v>3593369</v>
      </c>
      <c r="J41" s="16"/>
      <c r="K41" s="24">
        <v>2905934</v>
      </c>
      <c r="L41" s="16"/>
      <c r="M41" s="24">
        <v>0</v>
      </c>
      <c r="N41" s="14"/>
      <c r="O41" s="40">
        <f t="shared" si="0"/>
        <v>915884</v>
      </c>
      <c r="P41" s="14"/>
      <c r="Q41" s="24">
        <v>20389695</v>
      </c>
      <c r="R41" s="9"/>
      <c r="S41" s="24">
        <v>0</v>
      </c>
    </row>
    <row r="42" spans="1:19" s="2" customFormat="1" ht="12.75" customHeight="1" hidden="1">
      <c r="A42" s="133" t="s">
        <v>168</v>
      </c>
      <c r="B42" s="18"/>
      <c r="C42" s="24">
        <v>0</v>
      </c>
      <c r="D42" s="16"/>
      <c r="E42" s="24">
        <v>0</v>
      </c>
      <c r="F42" s="16"/>
      <c r="G42" s="24">
        <v>0</v>
      </c>
      <c r="H42" s="16"/>
      <c r="I42" s="24">
        <v>0</v>
      </c>
      <c r="J42" s="16"/>
      <c r="K42" s="24">
        <v>0</v>
      </c>
      <c r="L42" s="16"/>
      <c r="M42" s="24">
        <v>0</v>
      </c>
      <c r="N42" s="14"/>
      <c r="O42" s="40">
        <f t="shared" si="0"/>
        <v>0</v>
      </c>
      <c r="P42" s="14"/>
      <c r="Q42" s="24">
        <v>0</v>
      </c>
      <c r="R42" s="9"/>
      <c r="S42" s="24">
        <v>0</v>
      </c>
    </row>
    <row r="43" spans="1:19" s="2" customFormat="1" ht="12.75" customHeight="1" hidden="1">
      <c r="A43" s="133" t="s">
        <v>39</v>
      </c>
      <c r="B43" s="18"/>
      <c r="C43" s="24">
        <v>0</v>
      </c>
      <c r="D43" s="16"/>
      <c r="E43" s="24">
        <v>0</v>
      </c>
      <c r="F43" s="16"/>
      <c r="G43" s="24">
        <v>0</v>
      </c>
      <c r="H43" s="16"/>
      <c r="I43" s="24">
        <v>0</v>
      </c>
      <c r="J43" s="16"/>
      <c r="K43" s="24">
        <v>0</v>
      </c>
      <c r="L43" s="16"/>
      <c r="M43" s="24">
        <v>0</v>
      </c>
      <c r="N43" s="14"/>
      <c r="O43" s="40">
        <f t="shared" si="0"/>
        <v>0</v>
      </c>
      <c r="P43" s="14"/>
      <c r="Q43" s="24">
        <v>0</v>
      </c>
      <c r="R43" s="9"/>
      <c r="S43" s="24">
        <v>0</v>
      </c>
    </row>
    <row r="44" spans="1:19" s="2" customFormat="1" ht="12.75" customHeight="1">
      <c r="A44" s="133" t="s">
        <v>40</v>
      </c>
      <c r="B44" s="18"/>
      <c r="C44" s="24">
        <v>1884345</v>
      </c>
      <c r="D44" s="16"/>
      <c r="E44" s="24">
        <v>3666293</v>
      </c>
      <c r="F44" s="16"/>
      <c r="G44" s="24">
        <v>0</v>
      </c>
      <c r="H44" s="16"/>
      <c r="I44" s="24">
        <v>800276</v>
      </c>
      <c r="J44" s="16"/>
      <c r="K44" s="24">
        <v>1286352</v>
      </c>
      <c r="L44" s="16"/>
      <c r="M44" s="24">
        <v>0</v>
      </c>
      <c r="N44" s="14"/>
      <c r="O44" s="40">
        <f t="shared" si="0"/>
        <v>645750</v>
      </c>
      <c r="P44" s="14"/>
      <c r="Q44" s="24">
        <v>8283016</v>
      </c>
      <c r="R44" s="9"/>
      <c r="S44" s="24">
        <v>0</v>
      </c>
    </row>
    <row r="45" spans="1:19" s="2" customFormat="1" ht="12.75" customHeight="1" hidden="1">
      <c r="A45" s="133" t="s">
        <v>41</v>
      </c>
      <c r="B45" s="18"/>
      <c r="C45" s="24">
        <v>0</v>
      </c>
      <c r="D45" s="16"/>
      <c r="E45" s="24">
        <v>0</v>
      </c>
      <c r="F45" s="16"/>
      <c r="G45" s="24">
        <v>0</v>
      </c>
      <c r="H45" s="16"/>
      <c r="I45" s="24">
        <v>0</v>
      </c>
      <c r="J45" s="16"/>
      <c r="K45" s="24">
        <v>0</v>
      </c>
      <c r="L45" s="16"/>
      <c r="M45" s="24">
        <v>0</v>
      </c>
      <c r="N45" s="14"/>
      <c r="O45" s="40">
        <f t="shared" si="0"/>
        <v>0</v>
      </c>
      <c r="P45" s="14"/>
      <c r="Q45" s="24">
        <v>0</v>
      </c>
      <c r="R45" s="9"/>
      <c r="S45" s="24">
        <v>0</v>
      </c>
    </row>
    <row r="46" spans="1:19" s="2" customFormat="1" ht="12.75" customHeight="1">
      <c r="A46" s="133" t="s">
        <v>42</v>
      </c>
      <c r="B46" s="18"/>
      <c r="C46" s="24">
        <v>4095846</v>
      </c>
      <c r="D46" s="132"/>
      <c r="E46" s="24">
        <v>0</v>
      </c>
      <c r="F46" s="132"/>
      <c r="G46" s="24">
        <v>0</v>
      </c>
      <c r="H46" s="132"/>
      <c r="I46" s="24">
        <v>972432</v>
      </c>
      <c r="J46" s="132"/>
      <c r="K46" s="24">
        <v>851841</v>
      </c>
      <c r="L46" s="132"/>
      <c r="M46" s="24">
        <v>0</v>
      </c>
      <c r="N46" s="148"/>
      <c r="O46" s="147">
        <f t="shared" si="0"/>
        <v>704234</v>
      </c>
      <c r="P46" s="148"/>
      <c r="Q46" s="24">
        <v>6624353</v>
      </c>
      <c r="R46" s="149"/>
      <c r="S46" s="24">
        <f>19678+112</f>
        <v>19790</v>
      </c>
    </row>
    <row r="47" spans="1:19" s="2" customFormat="1" ht="12.75" customHeight="1">
      <c r="A47" s="133" t="s">
        <v>43</v>
      </c>
      <c r="B47" s="18"/>
      <c r="C47" s="24">
        <v>2162910</v>
      </c>
      <c r="D47" s="132"/>
      <c r="E47" s="24">
        <v>3971178</v>
      </c>
      <c r="F47" s="132"/>
      <c r="G47" s="24">
        <v>0</v>
      </c>
      <c r="H47" s="132"/>
      <c r="I47" s="24">
        <v>1249972</v>
      </c>
      <c r="J47" s="132"/>
      <c r="K47" s="24">
        <v>1231406</v>
      </c>
      <c r="L47" s="132"/>
      <c r="M47" s="24">
        <v>0</v>
      </c>
      <c r="N47" s="148"/>
      <c r="O47" s="147">
        <f t="shared" si="0"/>
        <v>444567</v>
      </c>
      <c r="P47" s="148"/>
      <c r="Q47" s="24">
        <v>9060033</v>
      </c>
      <c r="R47" s="149"/>
      <c r="S47" s="24">
        <f>15166+8109</f>
        <v>23275</v>
      </c>
    </row>
    <row r="48" spans="1:19" s="2" customFormat="1" ht="12.75" customHeight="1" hidden="1">
      <c r="A48" s="133" t="s">
        <v>44</v>
      </c>
      <c r="B48" s="18"/>
      <c r="C48" s="24">
        <v>0</v>
      </c>
      <c r="D48" s="132"/>
      <c r="E48" s="24">
        <v>0</v>
      </c>
      <c r="F48" s="132"/>
      <c r="G48" s="24">
        <v>0</v>
      </c>
      <c r="H48" s="132"/>
      <c r="I48" s="24">
        <v>0</v>
      </c>
      <c r="J48" s="132"/>
      <c r="K48" s="24">
        <v>0</v>
      </c>
      <c r="L48" s="132"/>
      <c r="M48" s="24">
        <v>0</v>
      </c>
      <c r="N48" s="148"/>
      <c r="O48" s="147">
        <f t="shared" si="0"/>
        <v>0</v>
      </c>
      <c r="P48" s="148"/>
      <c r="Q48" s="24">
        <v>0</v>
      </c>
      <c r="R48" s="149"/>
      <c r="S48" s="24">
        <v>0</v>
      </c>
    </row>
    <row r="49" spans="1:19" s="2" customFormat="1" ht="12.75" customHeight="1" hidden="1">
      <c r="A49" s="133" t="s">
        <v>241</v>
      </c>
      <c r="B49" s="18"/>
      <c r="C49" s="24">
        <v>0</v>
      </c>
      <c r="D49" s="132"/>
      <c r="E49" s="24">
        <v>0</v>
      </c>
      <c r="F49" s="132"/>
      <c r="G49" s="24">
        <v>0</v>
      </c>
      <c r="H49" s="132"/>
      <c r="I49" s="24">
        <v>0</v>
      </c>
      <c r="J49" s="132"/>
      <c r="K49" s="24">
        <v>0</v>
      </c>
      <c r="L49" s="132"/>
      <c r="M49" s="24">
        <v>0</v>
      </c>
      <c r="N49" s="148"/>
      <c r="O49" s="147">
        <f t="shared" si="0"/>
        <v>0</v>
      </c>
      <c r="P49" s="148"/>
      <c r="Q49" s="24">
        <v>0</v>
      </c>
      <c r="R49" s="149"/>
      <c r="S49" s="24">
        <v>0</v>
      </c>
    </row>
    <row r="50" spans="1:19" s="2" customFormat="1" ht="12.75" customHeight="1">
      <c r="A50" s="133" t="s">
        <v>46</v>
      </c>
      <c r="B50" s="18"/>
      <c r="C50" s="24">
        <v>1859114</v>
      </c>
      <c r="D50" s="132"/>
      <c r="E50" s="24">
        <v>4482700</v>
      </c>
      <c r="F50" s="132"/>
      <c r="G50" s="24">
        <v>0</v>
      </c>
      <c r="H50" s="132"/>
      <c r="I50" s="24">
        <v>2656498</v>
      </c>
      <c r="J50" s="132"/>
      <c r="K50" s="24">
        <v>2840361</v>
      </c>
      <c r="L50" s="132"/>
      <c r="M50" s="24">
        <v>0</v>
      </c>
      <c r="N50" s="148"/>
      <c r="O50" s="147">
        <f t="shared" si="0"/>
        <v>942842</v>
      </c>
      <c r="P50" s="148"/>
      <c r="Q50" s="24">
        <v>12781515</v>
      </c>
      <c r="R50" s="149"/>
      <c r="S50" s="24">
        <f>0</f>
        <v>0</v>
      </c>
    </row>
    <row r="51" spans="1:19" s="2" customFormat="1" ht="12.75" customHeight="1">
      <c r="A51" s="133" t="s">
        <v>47</v>
      </c>
      <c r="B51" s="18"/>
      <c r="C51" s="24">
        <v>7724158</v>
      </c>
      <c r="D51" s="132"/>
      <c r="E51" s="24">
        <v>0</v>
      </c>
      <c r="F51" s="132"/>
      <c r="G51" s="24">
        <v>0</v>
      </c>
      <c r="H51" s="132"/>
      <c r="I51" s="24">
        <v>1976044</v>
      </c>
      <c r="J51" s="132"/>
      <c r="K51" s="24">
        <v>1863964</v>
      </c>
      <c r="L51" s="132"/>
      <c r="M51" s="24">
        <v>0</v>
      </c>
      <c r="N51" s="148"/>
      <c r="O51" s="147">
        <f t="shared" si="0"/>
        <v>988000</v>
      </c>
      <c r="P51" s="148"/>
      <c r="Q51" s="24">
        <v>12552166</v>
      </c>
      <c r="R51" s="149"/>
      <c r="S51" s="24">
        <f>34483+162410</f>
        <v>196893</v>
      </c>
    </row>
    <row r="52" spans="1:19" s="2" customFormat="1" ht="12.75" customHeight="1">
      <c r="A52" s="133" t="s">
        <v>48</v>
      </c>
      <c r="B52" s="18"/>
      <c r="C52" s="24">
        <v>11695262</v>
      </c>
      <c r="D52" s="132"/>
      <c r="E52" s="24">
        <v>14629554</v>
      </c>
      <c r="F52" s="132"/>
      <c r="G52" s="24">
        <v>2010629</v>
      </c>
      <c r="H52" s="132"/>
      <c r="I52" s="24">
        <v>0</v>
      </c>
      <c r="J52" s="132"/>
      <c r="K52" s="24">
        <v>6897917</v>
      </c>
      <c r="L52" s="132"/>
      <c r="M52" s="24">
        <v>0</v>
      </c>
      <c r="N52" s="148"/>
      <c r="O52" s="147">
        <f t="shared" si="0"/>
        <v>11963926</v>
      </c>
      <c r="P52" s="148"/>
      <c r="Q52" s="24">
        <v>47197288</v>
      </c>
      <c r="R52" s="149"/>
      <c r="S52" s="24">
        <f>13867+686301</f>
        <v>700168</v>
      </c>
    </row>
    <row r="53" spans="1:19" s="2" customFormat="1" ht="12.75" customHeight="1" hidden="1">
      <c r="A53" s="133" t="s">
        <v>170</v>
      </c>
      <c r="B53" s="18"/>
      <c r="C53" s="24">
        <v>0</v>
      </c>
      <c r="D53" s="132"/>
      <c r="E53" s="24">
        <v>0</v>
      </c>
      <c r="F53" s="132"/>
      <c r="G53" s="24">
        <v>0</v>
      </c>
      <c r="H53" s="132"/>
      <c r="I53" s="24">
        <v>0</v>
      </c>
      <c r="J53" s="132"/>
      <c r="K53" s="24">
        <v>0</v>
      </c>
      <c r="L53" s="132"/>
      <c r="M53" s="24">
        <v>0</v>
      </c>
      <c r="N53" s="148"/>
      <c r="O53" s="147">
        <f t="shared" si="0"/>
        <v>0</v>
      </c>
      <c r="P53" s="148"/>
      <c r="Q53" s="24">
        <v>0</v>
      </c>
      <c r="R53" s="149"/>
      <c r="S53" s="24">
        <v>0</v>
      </c>
    </row>
    <row r="54" spans="1:19" s="2" customFormat="1" ht="12.75" customHeight="1">
      <c r="A54" s="133" t="s">
        <v>49</v>
      </c>
      <c r="B54" s="18"/>
      <c r="C54" s="24">
        <v>30625227</v>
      </c>
      <c r="D54" s="132"/>
      <c r="E54" s="24">
        <v>0</v>
      </c>
      <c r="F54" s="132"/>
      <c r="G54" s="24">
        <v>0</v>
      </c>
      <c r="H54" s="132"/>
      <c r="I54" s="24">
        <v>5741468</v>
      </c>
      <c r="J54" s="132"/>
      <c r="K54" s="24">
        <v>4835735</v>
      </c>
      <c r="L54" s="132"/>
      <c r="M54" s="24">
        <v>0</v>
      </c>
      <c r="N54" s="148"/>
      <c r="O54" s="147">
        <f t="shared" si="0"/>
        <v>2744373</v>
      </c>
      <c r="P54" s="148"/>
      <c r="Q54" s="24">
        <v>43946803</v>
      </c>
      <c r="R54" s="149"/>
      <c r="S54" s="24">
        <v>66921</v>
      </c>
    </row>
    <row r="55" spans="1:19" s="2" customFormat="1" ht="12.75" customHeight="1">
      <c r="A55" s="133" t="s">
        <v>50</v>
      </c>
      <c r="B55" s="18"/>
      <c r="C55" s="24">
        <v>9716341</v>
      </c>
      <c r="D55" s="132"/>
      <c r="E55" s="24">
        <v>0</v>
      </c>
      <c r="F55" s="132"/>
      <c r="G55" s="24">
        <v>0</v>
      </c>
      <c r="H55" s="132"/>
      <c r="I55" s="24">
        <v>1648131</v>
      </c>
      <c r="J55" s="132"/>
      <c r="K55" s="24">
        <v>1559325</v>
      </c>
      <c r="L55" s="132"/>
      <c r="M55" s="24">
        <v>0</v>
      </c>
      <c r="N55" s="148"/>
      <c r="O55" s="147">
        <f t="shared" si="0"/>
        <v>1342049</v>
      </c>
      <c r="P55" s="148"/>
      <c r="Q55" s="24">
        <v>14265846</v>
      </c>
      <c r="R55" s="149"/>
      <c r="S55" s="24">
        <v>0</v>
      </c>
    </row>
    <row r="56" spans="1:19" s="2" customFormat="1" ht="12.75" customHeight="1">
      <c r="A56" s="133" t="s">
        <v>246</v>
      </c>
      <c r="B56" s="18"/>
      <c r="C56" s="24">
        <v>7166079</v>
      </c>
      <c r="D56" s="132"/>
      <c r="E56" s="24">
        <v>14989063</v>
      </c>
      <c r="F56" s="132"/>
      <c r="G56" s="24">
        <v>0</v>
      </c>
      <c r="H56" s="132"/>
      <c r="I56" s="24">
        <v>4275132</v>
      </c>
      <c r="J56" s="132"/>
      <c r="K56" s="24">
        <v>7954467</v>
      </c>
      <c r="L56" s="132"/>
      <c r="M56" s="24">
        <v>0</v>
      </c>
      <c r="N56" s="148"/>
      <c r="O56" s="147">
        <f t="shared" si="0"/>
        <v>12016969</v>
      </c>
      <c r="P56" s="148"/>
      <c r="Q56" s="24">
        <v>46401710</v>
      </c>
      <c r="R56" s="149"/>
      <c r="S56" s="24">
        <v>289387</v>
      </c>
    </row>
    <row r="57" spans="1:19" s="2" customFormat="1" ht="12.75" customHeight="1">
      <c r="A57" s="133" t="s">
        <v>183</v>
      </c>
      <c r="B57" s="18"/>
      <c r="C57" s="24">
        <v>13888112</v>
      </c>
      <c r="D57" s="132"/>
      <c r="E57" s="24">
        <v>68074116</v>
      </c>
      <c r="F57" s="132"/>
      <c r="G57" s="24">
        <v>0</v>
      </c>
      <c r="H57" s="132"/>
      <c r="I57" s="24">
        <v>11771720</v>
      </c>
      <c r="J57" s="132"/>
      <c r="K57" s="24">
        <v>26610658</v>
      </c>
      <c r="L57" s="132"/>
      <c r="M57" s="24">
        <v>35696</v>
      </c>
      <c r="N57" s="148"/>
      <c r="O57" s="147">
        <f t="shared" si="0"/>
        <v>7780468</v>
      </c>
      <c r="P57" s="148"/>
      <c r="Q57" s="24">
        <v>128160770</v>
      </c>
      <c r="R57" s="149"/>
      <c r="S57" s="24">
        <v>0</v>
      </c>
    </row>
    <row r="58" spans="1:19" s="34" customFormat="1" ht="12.75" customHeight="1" hidden="1">
      <c r="A58" s="133" t="s">
        <v>52</v>
      </c>
      <c r="B58" s="62"/>
      <c r="C58" s="24">
        <v>0</v>
      </c>
      <c r="D58" s="132"/>
      <c r="E58" s="24">
        <v>0</v>
      </c>
      <c r="F58" s="132"/>
      <c r="G58" s="24">
        <v>0</v>
      </c>
      <c r="H58" s="132"/>
      <c r="I58" s="24">
        <v>0</v>
      </c>
      <c r="J58" s="132"/>
      <c r="K58" s="24">
        <v>0</v>
      </c>
      <c r="L58" s="132"/>
      <c r="M58" s="24">
        <v>0</v>
      </c>
      <c r="N58" s="148"/>
      <c r="O58" s="147">
        <f t="shared" si="0"/>
        <v>0</v>
      </c>
      <c r="P58" s="148"/>
      <c r="Q58" s="24">
        <v>0</v>
      </c>
      <c r="R58" s="149"/>
      <c r="S58" s="24">
        <v>0</v>
      </c>
    </row>
    <row r="59" spans="1:19" s="34" customFormat="1" ht="12.75" customHeight="1">
      <c r="A59" s="133" t="s">
        <v>53</v>
      </c>
      <c r="B59" s="62"/>
      <c r="C59" s="24">
        <v>7262802</v>
      </c>
      <c r="D59" s="132"/>
      <c r="E59" s="24">
        <v>27477880</v>
      </c>
      <c r="F59" s="132"/>
      <c r="G59" s="24">
        <v>0</v>
      </c>
      <c r="H59" s="132"/>
      <c r="I59" s="24">
        <v>1672535</v>
      </c>
      <c r="J59" s="132"/>
      <c r="K59" s="24">
        <v>9207143</v>
      </c>
      <c r="L59" s="132"/>
      <c r="M59" s="24">
        <v>0</v>
      </c>
      <c r="N59" s="148"/>
      <c r="O59" s="147">
        <f t="shared" si="0"/>
        <v>10269792</v>
      </c>
      <c r="P59" s="148"/>
      <c r="Q59" s="24">
        <v>55890152</v>
      </c>
      <c r="R59" s="149"/>
      <c r="S59" s="24">
        <f>12820+170000</f>
        <v>182820</v>
      </c>
    </row>
    <row r="60" spans="1:19" s="34" customFormat="1" ht="12.75" customHeight="1">
      <c r="A60" s="133" t="s">
        <v>54</v>
      </c>
      <c r="B60" s="62"/>
      <c r="C60" s="24">
        <v>2065752</v>
      </c>
      <c r="D60" s="132"/>
      <c r="E60" s="24">
        <v>6505099</v>
      </c>
      <c r="F60" s="132"/>
      <c r="G60" s="24">
        <v>0</v>
      </c>
      <c r="H60" s="132"/>
      <c r="I60" s="24">
        <v>2654503</v>
      </c>
      <c r="J60" s="132"/>
      <c r="K60" s="24">
        <v>2258477</v>
      </c>
      <c r="L60" s="132"/>
      <c r="M60" s="24">
        <v>0</v>
      </c>
      <c r="N60" s="148"/>
      <c r="O60" s="147">
        <f t="shared" si="0"/>
        <v>1275503</v>
      </c>
      <c r="P60" s="148"/>
      <c r="Q60" s="24">
        <v>14759334</v>
      </c>
      <c r="R60" s="149"/>
      <c r="S60" s="24">
        <v>37500</v>
      </c>
    </row>
    <row r="61" spans="1:19" s="2" customFormat="1" ht="12.75" customHeight="1">
      <c r="A61" s="133" t="s">
        <v>55</v>
      </c>
      <c r="B61" s="18"/>
      <c r="C61" s="24">
        <v>10742194</v>
      </c>
      <c r="D61" s="132"/>
      <c r="E61" s="24">
        <v>9318695</v>
      </c>
      <c r="F61" s="132"/>
      <c r="G61" s="24">
        <v>1413932</v>
      </c>
      <c r="H61" s="132"/>
      <c r="I61" s="24">
        <v>8633428</v>
      </c>
      <c r="J61" s="132"/>
      <c r="K61" s="24">
        <v>5914182</v>
      </c>
      <c r="L61" s="132"/>
      <c r="M61" s="24">
        <v>0</v>
      </c>
      <c r="N61" s="148"/>
      <c r="O61" s="147">
        <f t="shared" si="0"/>
        <v>3631087</v>
      </c>
      <c r="P61" s="148"/>
      <c r="Q61" s="24">
        <v>39653518</v>
      </c>
      <c r="R61" s="149"/>
      <c r="S61" s="24">
        <v>30163</v>
      </c>
    </row>
    <row r="62" spans="1:19" s="2" customFormat="1" ht="12.75" customHeight="1" hidden="1">
      <c r="A62" s="133" t="s">
        <v>171</v>
      </c>
      <c r="B62" s="18"/>
      <c r="C62" s="24">
        <v>0</v>
      </c>
      <c r="D62" s="132"/>
      <c r="E62" s="24">
        <v>0</v>
      </c>
      <c r="F62" s="132"/>
      <c r="G62" s="24">
        <v>0</v>
      </c>
      <c r="H62" s="132"/>
      <c r="I62" s="24">
        <v>0</v>
      </c>
      <c r="J62" s="132"/>
      <c r="K62" s="24">
        <v>0</v>
      </c>
      <c r="L62" s="132"/>
      <c r="M62" s="24">
        <v>0</v>
      </c>
      <c r="N62" s="148"/>
      <c r="O62" s="147">
        <f t="shared" si="0"/>
        <v>0</v>
      </c>
      <c r="P62" s="148"/>
      <c r="Q62" s="24">
        <v>0</v>
      </c>
      <c r="R62" s="149"/>
      <c r="S62" s="24">
        <v>0</v>
      </c>
    </row>
    <row r="63" spans="1:19" s="2" customFormat="1" ht="12.75" customHeight="1" hidden="1">
      <c r="A63" s="133" t="s">
        <v>56</v>
      </c>
      <c r="B63" s="18"/>
      <c r="C63" s="24">
        <v>0</v>
      </c>
      <c r="D63" s="132"/>
      <c r="E63" s="24">
        <v>0</v>
      </c>
      <c r="F63" s="132"/>
      <c r="G63" s="24">
        <v>0</v>
      </c>
      <c r="H63" s="132"/>
      <c r="I63" s="24">
        <v>0</v>
      </c>
      <c r="J63" s="132"/>
      <c r="K63" s="24">
        <v>0</v>
      </c>
      <c r="L63" s="132"/>
      <c r="M63" s="24">
        <v>0</v>
      </c>
      <c r="N63" s="148"/>
      <c r="O63" s="147">
        <f t="shared" si="0"/>
        <v>0</v>
      </c>
      <c r="P63" s="148"/>
      <c r="Q63" s="24">
        <v>0</v>
      </c>
      <c r="R63" s="149"/>
      <c r="S63" s="24">
        <v>0</v>
      </c>
    </row>
    <row r="64" spans="1:19" s="2" customFormat="1" ht="12.75" customHeight="1">
      <c r="A64" s="133" t="s">
        <v>57</v>
      </c>
      <c r="B64" s="18"/>
      <c r="C64" s="24">
        <v>14755444</v>
      </c>
      <c r="D64" s="132"/>
      <c r="E64" s="24">
        <v>0</v>
      </c>
      <c r="F64" s="132"/>
      <c r="G64" s="24">
        <v>0</v>
      </c>
      <c r="H64" s="132"/>
      <c r="I64" s="24">
        <v>2856124</v>
      </c>
      <c r="J64" s="132"/>
      <c r="K64" s="24">
        <v>3100236</v>
      </c>
      <c r="L64" s="132"/>
      <c r="M64" s="24">
        <v>0</v>
      </c>
      <c r="N64" s="148"/>
      <c r="O64" s="147">
        <f t="shared" si="0"/>
        <v>2923992</v>
      </c>
      <c r="P64" s="148"/>
      <c r="Q64" s="24">
        <v>23635796</v>
      </c>
      <c r="R64" s="149"/>
      <c r="S64" s="24">
        <v>13350</v>
      </c>
    </row>
    <row r="65" spans="1:19" s="2" customFormat="1" ht="12.75" customHeight="1">
      <c r="A65" s="133" t="s">
        <v>58</v>
      </c>
      <c r="B65" s="18"/>
      <c r="C65" s="24">
        <v>758461</v>
      </c>
      <c r="D65" s="132"/>
      <c r="E65" s="24">
        <v>1456441</v>
      </c>
      <c r="F65" s="132"/>
      <c r="G65" s="24">
        <v>0</v>
      </c>
      <c r="H65" s="132"/>
      <c r="I65" s="24">
        <v>927653</v>
      </c>
      <c r="J65" s="132"/>
      <c r="K65" s="24">
        <v>702808</v>
      </c>
      <c r="L65" s="132"/>
      <c r="M65" s="24">
        <v>0</v>
      </c>
      <c r="N65" s="148"/>
      <c r="O65" s="147">
        <f t="shared" si="0"/>
        <v>257498</v>
      </c>
      <c r="P65" s="148"/>
      <c r="Q65" s="24">
        <v>4102861</v>
      </c>
      <c r="R65" s="149"/>
      <c r="S65" s="24">
        <f>6350+15180</f>
        <v>21530</v>
      </c>
    </row>
    <row r="66" spans="1:19" s="2" customFormat="1" ht="12.75" customHeight="1">
      <c r="A66" s="133" t="s">
        <v>59</v>
      </c>
      <c r="B66" s="18"/>
      <c r="C66" s="24">
        <v>14557989</v>
      </c>
      <c r="D66" s="16"/>
      <c r="E66" s="24">
        <v>60821919</v>
      </c>
      <c r="F66" s="16"/>
      <c r="G66" s="24">
        <v>2139472</v>
      </c>
      <c r="H66" s="16"/>
      <c r="I66" s="24">
        <v>23313444</v>
      </c>
      <c r="J66" s="16"/>
      <c r="K66" s="24">
        <v>21902661</v>
      </c>
      <c r="L66" s="16"/>
      <c r="M66" s="24">
        <v>0</v>
      </c>
      <c r="N66" s="14"/>
      <c r="O66" s="40">
        <f t="shared" si="0"/>
        <v>11550572</v>
      </c>
      <c r="P66" s="14"/>
      <c r="Q66" s="24">
        <v>134286057</v>
      </c>
      <c r="R66" s="9"/>
      <c r="S66" s="24">
        <f>60196+4962901</f>
        <v>5023097</v>
      </c>
    </row>
    <row r="67" spans="1:19" s="2" customFormat="1" ht="12.75" customHeight="1" hidden="1">
      <c r="A67" s="133" t="s">
        <v>60</v>
      </c>
      <c r="B67" s="18"/>
      <c r="C67" s="24">
        <v>0</v>
      </c>
      <c r="D67" s="16"/>
      <c r="E67" s="24">
        <v>0</v>
      </c>
      <c r="F67" s="16"/>
      <c r="G67" s="24">
        <v>0</v>
      </c>
      <c r="H67" s="16"/>
      <c r="I67" s="24">
        <v>0</v>
      </c>
      <c r="J67" s="16"/>
      <c r="K67" s="24">
        <v>0</v>
      </c>
      <c r="L67" s="16"/>
      <c r="M67" s="24">
        <v>0</v>
      </c>
      <c r="N67" s="14"/>
      <c r="O67" s="40">
        <f t="shared" si="0"/>
        <v>0</v>
      </c>
      <c r="P67" s="14"/>
      <c r="Q67" s="24">
        <v>0</v>
      </c>
      <c r="R67" s="9"/>
      <c r="S67" s="24">
        <v>0</v>
      </c>
    </row>
    <row r="68" spans="1:19" s="2" customFormat="1" ht="12.75" customHeight="1">
      <c r="A68" s="133" t="s">
        <v>97</v>
      </c>
      <c r="B68" s="18"/>
      <c r="C68" s="24">
        <v>2199620</v>
      </c>
      <c r="D68" s="16"/>
      <c r="E68" s="24">
        <v>2611912</v>
      </c>
      <c r="F68" s="16"/>
      <c r="G68" s="24">
        <v>0</v>
      </c>
      <c r="H68" s="16"/>
      <c r="I68" s="24">
        <v>312611</v>
      </c>
      <c r="J68" s="16"/>
      <c r="K68" s="24">
        <v>1094617</v>
      </c>
      <c r="L68" s="16"/>
      <c r="M68" s="24">
        <v>0</v>
      </c>
      <c r="N68" s="14"/>
      <c r="O68" s="40">
        <f t="shared" si="0"/>
        <v>949766</v>
      </c>
      <c r="P68" s="14"/>
      <c r="Q68" s="24">
        <v>7168526</v>
      </c>
      <c r="R68" s="9"/>
      <c r="S68" s="24">
        <v>0</v>
      </c>
    </row>
    <row r="69" spans="1:19" s="2" customFormat="1" ht="12.75" customHeight="1">
      <c r="A69" s="133" t="s">
        <v>61</v>
      </c>
      <c r="B69" s="18"/>
      <c r="C69" s="24">
        <v>2874882</v>
      </c>
      <c r="D69" s="16"/>
      <c r="E69" s="24">
        <v>16343578</v>
      </c>
      <c r="F69" s="16"/>
      <c r="G69" s="24">
        <v>109811</v>
      </c>
      <c r="H69" s="16"/>
      <c r="I69" s="24">
        <v>3822230</v>
      </c>
      <c r="J69" s="16"/>
      <c r="K69" s="24">
        <v>2567293</v>
      </c>
      <c r="L69" s="16"/>
      <c r="M69" s="24">
        <v>0</v>
      </c>
      <c r="N69" s="14"/>
      <c r="O69" s="40">
        <f t="shared" si="0"/>
        <v>1781368</v>
      </c>
      <c r="P69" s="14"/>
      <c r="Q69" s="24">
        <v>27499162</v>
      </c>
      <c r="R69" s="9"/>
      <c r="S69" s="24">
        <f>108250+256661</f>
        <v>364911</v>
      </c>
    </row>
    <row r="70" spans="1:19" s="2" customFormat="1" ht="12.75" customHeight="1">
      <c r="A70" s="133" t="s">
        <v>62</v>
      </c>
      <c r="B70" s="18"/>
      <c r="C70" s="24">
        <v>617923</v>
      </c>
      <c r="D70" s="16"/>
      <c r="E70" s="24">
        <v>1144526</v>
      </c>
      <c r="F70" s="16"/>
      <c r="G70" s="24">
        <v>0</v>
      </c>
      <c r="H70" s="16"/>
      <c r="I70" s="24">
        <v>609219</v>
      </c>
      <c r="J70" s="16"/>
      <c r="K70" s="24">
        <v>412276</v>
      </c>
      <c r="L70" s="16"/>
      <c r="M70" s="24">
        <v>0</v>
      </c>
      <c r="N70" s="14"/>
      <c r="O70" s="40">
        <f t="shared" si="0"/>
        <v>306354</v>
      </c>
      <c r="P70" s="14"/>
      <c r="Q70" s="24">
        <v>3090298</v>
      </c>
      <c r="R70" s="9"/>
      <c r="S70" s="24">
        <v>0</v>
      </c>
    </row>
    <row r="71" spans="1:19" s="2" customFormat="1" ht="12.75" customHeight="1" hidden="1">
      <c r="A71" s="133" t="s">
        <v>63</v>
      </c>
      <c r="B71" s="18"/>
      <c r="C71" s="24">
        <v>0</v>
      </c>
      <c r="D71" s="16"/>
      <c r="E71" s="24">
        <v>0</v>
      </c>
      <c r="F71" s="16"/>
      <c r="G71" s="24">
        <v>0</v>
      </c>
      <c r="H71" s="16"/>
      <c r="I71" s="24">
        <v>0</v>
      </c>
      <c r="J71" s="16"/>
      <c r="K71" s="24">
        <v>0</v>
      </c>
      <c r="L71" s="16"/>
      <c r="M71" s="24">
        <v>0</v>
      </c>
      <c r="N71" s="14"/>
      <c r="O71" s="40">
        <f t="shared" si="0"/>
        <v>0</v>
      </c>
      <c r="P71" s="14"/>
      <c r="Q71" s="24">
        <v>0</v>
      </c>
      <c r="R71" s="9"/>
      <c r="S71" s="24">
        <v>0</v>
      </c>
    </row>
    <row r="72" spans="1:19" s="2" customFormat="1" ht="12.75" customHeight="1" hidden="1">
      <c r="A72" s="133" t="s">
        <v>132</v>
      </c>
      <c r="B72" s="18"/>
      <c r="C72" s="24">
        <v>0</v>
      </c>
      <c r="D72" s="16"/>
      <c r="E72" s="24">
        <v>0</v>
      </c>
      <c r="F72" s="16"/>
      <c r="G72" s="24">
        <v>0</v>
      </c>
      <c r="H72" s="16"/>
      <c r="I72" s="24">
        <v>0</v>
      </c>
      <c r="J72" s="16"/>
      <c r="K72" s="24">
        <v>0</v>
      </c>
      <c r="L72" s="16"/>
      <c r="M72" s="24">
        <v>0</v>
      </c>
      <c r="N72" s="14"/>
      <c r="O72" s="40">
        <f>Q72-C72-E72-G72-I72-K72-M72</f>
        <v>0</v>
      </c>
      <c r="P72" s="14"/>
      <c r="Q72" s="24">
        <v>0</v>
      </c>
      <c r="R72" s="9"/>
      <c r="S72" s="24">
        <v>0</v>
      </c>
    </row>
    <row r="73" spans="1:19" s="2" customFormat="1" ht="12.75" customHeight="1" hidden="1">
      <c r="A73" s="133" t="s">
        <v>64</v>
      </c>
      <c r="B73" s="18"/>
      <c r="C73" s="24">
        <v>0</v>
      </c>
      <c r="D73" s="16"/>
      <c r="E73" s="24">
        <v>0</v>
      </c>
      <c r="F73" s="16"/>
      <c r="G73" s="24">
        <v>0</v>
      </c>
      <c r="H73" s="16"/>
      <c r="I73" s="24">
        <v>0</v>
      </c>
      <c r="J73" s="16"/>
      <c r="K73" s="24">
        <v>0</v>
      </c>
      <c r="L73" s="16"/>
      <c r="M73" s="24">
        <v>0</v>
      </c>
      <c r="N73" s="14"/>
      <c r="O73" s="40">
        <f>Q73-C73-E73-G73-I73-K73-M73</f>
        <v>0</v>
      </c>
      <c r="P73" s="14"/>
      <c r="Q73" s="24">
        <v>0</v>
      </c>
      <c r="R73" s="9"/>
      <c r="S73" s="24">
        <v>0</v>
      </c>
    </row>
    <row r="74" spans="1:19" s="2" customFormat="1" ht="12.75" customHeight="1">
      <c r="A74" s="133" t="s">
        <v>65</v>
      </c>
      <c r="B74" s="18"/>
      <c r="C74" s="24">
        <v>2665691</v>
      </c>
      <c r="D74" s="16"/>
      <c r="E74" s="24">
        <v>5910136</v>
      </c>
      <c r="F74" s="16"/>
      <c r="G74" s="24">
        <v>0</v>
      </c>
      <c r="H74" s="16"/>
      <c r="I74" s="24">
        <v>2180312</v>
      </c>
      <c r="J74" s="16"/>
      <c r="K74" s="24">
        <v>1656014</v>
      </c>
      <c r="L74" s="16"/>
      <c r="M74" s="24">
        <v>0</v>
      </c>
      <c r="N74" s="14"/>
      <c r="O74" s="40">
        <f aca="true" t="shared" si="1" ref="O74:O99">Q74-C74-E74-G74-I74-K74-M74</f>
        <v>880376</v>
      </c>
      <c r="P74" s="14"/>
      <c r="Q74" s="24">
        <v>13292529</v>
      </c>
      <c r="R74" s="11"/>
      <c r="S74" s="24">
        <f>9016+35000</f>
        <v>44016</v>
      </c>
    </row>
    <row r="75" spans="1:19" s="2" customFormat="1" ht="12.75" customHeight="1">
      <c r="A75" s="133" t="s">
        <v>66</v>
      </c>
      <c r="B75" s="18"/>
      <c r="C75" s="24">
        <v>5160432</v>
      </c>
      <c r="D75" s="16"/>
      <c r="E75" s="24">
        <v>0</v>
      </c>
      <c r="F75" s="16"/>
      <c r="G75" s="24">
        <v>0</v>
      </c>
      <c r="H75" s="16"/>
      <c r="I75" s="24">
        <v>667162</v>
      </c>
      <c r="J75" s="16"/>
      <c r="K75" s="24">
        <v>1207358</v>
      </c>
      <c r="L75" s="16"/>
      <c r="M75" s="24">
        <v>0</v>
      </c>
      <c r="N75" s="14"/>
      <c r="O75" s="40">
        <f t="shared" si="1"/>
        <v>824235</v>
      </c>
      <c r="P75" s="14"/>
      <c r="Q75" s="24">
        <v>7859187</v>
      </c>
      <c r="R75" s="9"/>
      <c r="S75" s="24">
        <f>15479</f>
        <v>15479</v>
      </c>
    </row>
    <row r="76" spans="1:19" s="2" customFormat="1" ht="12.75" customHeight="1">
      <c r="A76" s="133" t="s">
        <v>67</v>
      </c>
      <c r="B76" s="18"/>
      <c r="C76" s="24">
        <f>4577984</f>
        <v>4577984</v>
      </c>
      <c r="D76" s="16"/>
      <c r="E76" s="24">
        <v>16017457</v>
      </c>
      <c r="F76" s="16"/>
      <c r="G76" s="24">
        <v>0</v>
      </c>
      <c r="H76" s="16"/>
      <c r="I76" s="24">
        <v>7219233</v>
      </c>
      <c r="J76" s="16"/>
      <c r="K76" s="24">
        <v>4439403</v>
      </c>
      <c r="L76" s="16"/>
      <c r="M76" s="24">
        <v>0</v>
      </c>
      <c r="N76" s="14"/>
      <c r="O76" s="40">
        <f t="shared" si="1"/>
        <v>3572318</v>
      </c>
      <c r="P76" s="14"/>
      <c r="Q76" s="24">
        <v>35826395</v>
      </c>
      <c r="R76" s="9"/>
      <c r="S76" s="24">
        <v>842709</v>
      </c>
    </row>
    <row r="77" spans="1:19" s="2" customFormat="1" ht="12.75" customHeight="1">
      <c r="A77" s="133" t="s">
        <v>68</v>
      </c>
      <c r="B77" s="18"/>
      <c r="C77" s="24">
        <v>1899743</v>
      </c>
      <c r="D77" s="16"/>
      <c r="E77" s="24">
        <v>4444871</v>
      </c>
      <c r="F77" s="16"/>
      <c r="G77" s="24">
        <v>0</v>
      </c>
      <c r="H77" s="16"/>
      <c r="I77" s="24">
        <v>1567997</v>
      </c>
      <c r="J77" s="16"/>
      <c r="K77" s="24">
        <v>1305449</v>
      </c>
      <c r="L77" s="16"/>
      <c r="M77" s="24">
        <v>0</v>
      </c>
      <c r="N77" s="14"/>
      <c r="O77" s="40">
        <f t="shared" si="1"/>
        <v>424557</v>
      </c>
      <c r="P77" s="14"/>
      <c r="Q77" s="24">
        <v>9642617</v>
      </c>
      <c r="R77" s="9"/>
      <c r="S77" s="24">
        <f>69600+5625</f>
        <v>75225</v>
      </c>
    </row>
    <row r="78" spans="1:19" s="2" customFormat="1" ht="12.75" customHeight="1">
      <c r="A78" s="133"/>
      <c r="B78" s="18"/>
      <c r="C78" s="24"/>
      <c r="D78" s="16"/>
      <c r="E78" s="24"/>
      <c r="F78" s="16"/>
      <c r="G78" s="24"/>
      <c r="H78" s="16"/>
      <c r="I78" s="24"/>
      <c r="J78" s="16"/>
      <c r="K78" s="24"/>
      <c r="L78" s="16"/>
      <c r="M78" s="24"/>
      <c r="N78" s="14"/>
      <c r="O78" s="40"/>
      <c r="P78" s="14"/>
      <c r="Q78" s="24"/>
      <c r="R78" s="9"/>
      <c r="S78" s="24"/>
    </row>
    <row r="79" spans="1:19" s="34" customFormat="1" ht="12.75" customHeight="1">
      <c r="A79" s="133" t="s">
        <v>229</v>
      </c>
      <c r="B79" s="62"/>
      <c r="C79" s="24"/>
      <c r="D79" s="16"/>
      <c r="E79" s="24"/>
      <c r="F79" s="16"/>
      <c r="G79" s="24"/>
      <c r="H79" s="16"/>
      <c r="I79" s="24"/>
      <c r="J79" s="16"/>
      <c r="K79" s="24"/>
      <c r="L79" s="16"/>
      <c r="M79" s="24"/>
      <c r="N79" s="40"/>
      <c r="O79" s="40"/>
      <c r="P79" s="40"/>
      <c r="Q79" s="16" t="s">
        <v>249</v>
      </c>
      <c r="R79" s="23"/>
      <c r="S79" s="24"/>
    </row>
    <row r="80" spans="1:19" s="2" customFormat="1" ht="12.75" customHeight="1" hidden="1">
      <c r="A80" s="133" t="s">
        <v>176</v>
      </c>
      <c r="B80" s="18"/>
      <c r="C80" s="24">
        <v>0</v>
      </c>
      <c r="D80" s="16"/>
      <c r="E80" s="24">
        <v>0</v>
      </c>
      <c r="F80" s="16"/>
      <c r="G80" s="24">
        <v>0</v>
      </c>
      <c r="H80" s="16"/>
      <c r="I80" s="24">
        <v>0</v>
      </c>
      <c r="J80" s="16"/>
      <c r="K80" s="24">
        <v>0</v>
      </c>
      <c r="L80" s="16"/>
      <c r="M80" s="24">
        <v>0</v>
      </c>
      <c r="N80" s="14"/>
      <c r="O80" s="40">
        <f t="shared" si="1"/>
        <v>0</v>
      </c>
      <c r="P80" s="14"/>
      <c r="Q80" s="24">
        <v>0</v>
      </c>
      <c r="R80" s="9"/>
      <c r="S80" s="24">
        <v>0</v>
      </c>
    </row>
    <row r="81" spans="1:19" s="2" customFormat="1" ht="12.75" customHeight="1">
      <c r="A81" s="133" t="s">
        <v>178</v>
      </c>
      <c r="B81" s="18"/>
      <c r="C81" s="44">
        <v>4673547</v>
      </c>
      <c r="D81" s="46"/>
      <c r="E81" s="44">
        <v>14208369</v>
      </c>
      <c r="F81" s="46"/>
      <c r="G81" s="44">
        <v>0</v>
      </c>
      <c r="H81" s="46"/>
      <c r="I81" s="44">
        <v>5139589</v>
      </c>
      <c r="J81" s="46"/>
      <c r="K81" s="44">
        <v>4686337</v>
      </c>
      <c r="L81" s="46"/>
      <c r="M81" s="44">
        <v>0</v>
      </c>
      <c r="N81" s="45"/>
      <c r="O81" s="61">
        <f t="shared" si="1"/>
        <v>1732173</v>
      </c>
      <c r="P81" s="45"/>
      <c r="Q81" s="44">
        <v>30440015</v>
      </c>
      <c r="R81" s="143"/>
      <c r="S81" s="24">
        <f>185400</f>
        <v>185400</v>
      </c>
    </row>
    <row r="82" spans="1:19" s="2" customFormat="1" ht="12.75" customHeight="1">
      <c r="A82" s="133" t="s">
        <v>69</v>
      </c>
      <c r="B82" s="18"/>
      <c r="C82" s="24">
        <v>3120899</v>
      </c>
      <c r="D82" s="16"/>
      <c r="E82" s="24">
        <v>11951370</v>
      </c>
      <c r="F82" s="16"/>
      <c r="G82" s="24">
        <v>0</v>
      </c>
      <c r="H82" s="16"/>
      <c r="I82" s="24">
        <v>1901081</v>
      </c>
      <c r="J82" s="16"/>
      <c r="K82" s="24">
        <v>1778427</v>
      </c>
      <c r="L82" s="16"/>
      <c r="M82" s="24">
        <v>0</v>
      </c>
      <c r="N82" s="14"/>
      <c r="O82" s="40">
        <f t="shared" si="1"/>
        <v>1571645</v>
      </c>
      <c r="P82" s="14"/>
      <c r="Q82" s="24">
        <v>20323422</v>
      </c>
      <c r="R82" s="9"/>
      <c r="S82" s="24">
        <f>61833+160000</f>
        <v>221833</v>
      </c>
    </row>
    <row r="83" spans="1:19" s="2" customFormat="1" ht="12.75" customHeight="1">
      <c r="A83" s="133" t="s">
        <v>98</v>
      </c>
      <c r="B83" s="18"/>
      <c r="C83" s="24">
        <v>2554067</v>
      </c>
      <c r="D83" s="16"/>
      <c r="E83" s="24">
        <v>6466595</v>
      </c>
      <c r="F83" s="16"/>
      <c r="G83" s="24">
        <v>0</v>
      </c>
      <c r="H83" s="16"/>
      <c r="I83" s="24">
        <v>1591228</v>
      </c>
      <c r="J83" s="16"/>
      <c r="K83" s="24">
        <v>2346738</v>
      </c>
      <c r="L83" s="16"/>
      <c r="M83" s="24">
        <v>0</v>
      </c>
      <c r="N83" s="14"/>
      <c r="O83" s="40">
        <f t="shared" si="1"/>
        <v>2615432</v>
      </c>
      <c r="P83" s="14"/>
      <c r="Q83" s="24">
        <v>15574060</v>
      </c>
      <c r="R83" s="9"/>
      <c r="S83" s="24">
        <v>0</v>
      </c>
    </row>
    <row r="84" spans="1:19" s="2" customFormat="1" ht="12.75" customHeight="1">
      <c r="A84" s="133" t="s">
        <v>70</v>
      </c>
      <c r="B84" s="18"/>
      <c r="C84" s="24">
        <v>1565920</v>
      </c>
      <c r="D84" s="16"/>
      <c r="E84" s="24">
        <v>10048183</v>
      </c>
      <c r="F84" s="16"/>
      <c r="G84" s="24">
        <v>310015</v>
      </c>
      <c r="H84" s="16"/>
      <c r="I84" s="24">
        <v>2148395</v>
      </c>
      <c r="J84" s="16"/>
      <c r="K84" s="24">
        <v>1853866</v>
      </c>
      <c r="L84" s="16"/>
      <c r="M84" s="24">
        <v>0</v>
      </c>
      <c r="N84" s="14"/>
      <c r="O84" s="40">
        <f t="shared" si="1"/>
        <v>260089</v>
      </c>
      <c r="P84" s="14"/>
      <c r="Q84" s="24">
        <v>16186468</v>
      </c>
      <c r="R84" s="9"/>
      <c r="S84" s="24">
        <f>83374</f>
        <v>83374</v>
      </c>
    </row>
    <row r="85" spans="1:19" s="2" customFormat="1" ht="12.75" customHeight="1">
      <c r="A85" s="133" t="s">
        <v>71</v>
      </c>
      <c r="B85" s="18"/>
      <c r="C85" s="24">
        <v>1855366</v>
      </c>
      <c r="D85" s="16"/>
      <c r="E85" s="24">
        <v>6895795</v>
      </c>
      <c r="F85" s="16"/>
      <c r="G85" s="24">
        <v>0</v>
      </c>
      <c r="H85" s="16"/>
      <c r="I85" s="24">
        <v>1733070</v>
      </c>
      <c r="J85" s="16"/>
      <c r="K85" s="24">
        <v>6399238</v>
      </c>
      <c r="L85" s="16"/>
      <c r="M85" s="24">
        <v>0</v>
      </c>
      <c r="N85" s="14"/>
      <c r="O85" s="40">
        <f t="shared" si="1"/>
        <v>623823</v>
      </c>
      <c r="P85" s="14"/>
      <c r="Q85" s="24">
        <v>17507292</v>
      </c>
      <c r="R85" s="9"/>
      <c r="S85" s="24">
        <f>3175+21188+17265</f>
        <v>41628</v>
      </c>
    </row>
    <row r="86" spans="1:19" s="2" customFormat="1" ht="12.75" customHeight="1">
      <c r="A86" s="133" t="s">
        <v>72</v>
      </c>
      <c r="B86" s="18"/>
      <c r="C86" s="24">
        <v>1910701</v>
      </c>
      <c r="D86" s="16"/>
      <c r="E86" s="24">
        <v>3439819</v>
      </c>
      <c r="F86" s="16"/>
      <c r="G86" s="24">
        <v>0</v>
      </c>
      <c r="H86" s="16"/>
      <c r="I86" s="24">
        <v>2497607</v>
      </c>
      <c r="J86" s="16"/>
      <c r="K86" s="24">
        <v>2269219</v>
      </c>
      <c r="L86" s="16"/>
      <c r="M86" s="24">
        <v>0</v>
      </c>
      <c r="N86" s="14"/>
      <c r="O86" s="40">
        <f t="shared" si="1"/>
        <v>686449</v>
      </c>
      <c r="P86" s="14"/>
      <c r="Q86" s="24">
        <v>10803795</v>
      </c>
      <c r="R86" s="9"/>
      <c r="S86" s="24">
        <f>6255+600000</f>
        <v>606255</v>
      </c>
    </row>
    <row r="87" spans="1:19" s="2" customFormat="1" ht="12.75" customHeight="1">
      <c r="A87" s="133" t="s">
        <v>73</v>
      </c>
      <c r="B87" s="18"/>
      <c r="C87" s="24">
        <v>12892030</v>
      </c>
      <c r="D87" s="16"/>
      <c r="E87" s="24">
        <v>18532610</v>
      </c>
      <c r="F87" s="16"/>
      <c r="G87" s="24">
        <v>0</v>
      </c>
      <c r="H87" s="16"/>
      <c r="I87" s="24">
        <v>12238192</v>
      </c>
      <c r="J87" s="16"/>
      <c r="K87" s="24">
        <v>10741915</v>
      </c>
      <c r="L87" s="16"/>
      <c r="M87" s="24">
        <v>0</v>
      </c>
      <c r="N87" s="14"/>
      <c r="O87" s="40">
        <f t="shared" si="1"/>
        <v>4309009</v>
      </c>
      <c r="P87" s="14"/>
      <c r="Q87" s="24">
        <v>58713756</v>
      </c>
      <c r="R87" s="9"/>
      <c r="S87" s="24">
        <f>74329</f>
        <v>74329</v>
      </c>
    </row>
    <row r="88" spans="1:19" s="2" customFormat="1" ht="12.75" customHeight="1" hidden="1">
      <c r="A88" s="133" t="s">
        <v>74</v>
      </c>
      <c r="B88" s="18"/>
      <c r="C88" s="24">
        <v>0</v>
      </c>
      <c r="D88" s="16"/>
      <c r="E88" s="24">
        <v>0</v>
      </c>
      <c r="F88" s="16"/>
      <c r="G88" s="24">
        <v>0</v>
      </c>
      <c r="H88" s="16"/>
      <c r="I88" s="24">
        <v>0</v>
      </c>
      <c r="J88" s="16"/>
      <c r="K88" s="24">
        <v>0</v>
      </c>
      <c r="L88" s="16"/>
      <c r="M88" s="24">
        <v>0</v>
      </c>
      <c r="N88" s="14"/>
      <c r="O88" s="40">
        <f t="shared" si="1"/>
        <v>0</v>
      </c>
      <c r="P88" s="14"/>
      <c r="Q88" s="24">
        <v>0</v>
      </c>
      <c r="R88" s="9"/>
      <c r="S88" s="24">
        <v>0</v>
      </c>
    </row>
    <row r="89" spans="1:19" s="2" customFormat="1" ht="12.75" customHeight="1">
      <c r="A89" s="133" t="s">
        <v>75</v>
      </c>
      <c r="B89" s="18"/>
      <c r="C89" s="24">
        <v>6994757</v>
      </c>
      <c r="D89" s="16"/>
      <c r="E89" s="24">
        <v>18409091</v>
      </c>
      <c r="F89" s="16"/>
      <c r="G89" s="24">
        <v>0</v>
      </c>
      <c r="H89" s="16"/>
      <c r="I89" s="24">
        <v>3729240</v>
      </c>
      <c r="J89" s="16"/>
      <c r="K89" s="24">
        <v>7088673</v>
      </c>
      <c r="L89" s="16"/>
      <c r="M89" s="24">
        <v>0</v>
      </c>
      <c r="N89" s="14"/>
      <c r="O89" s="40">
        <f t="shared" si="1"/>
        <v>5919768</v>
      </c>
      <c r="P89" s="14"/>
      <c r="Q89" s="24">
        <v>42141529</v>
      </c>
      <c r="R89" s="9"/>
      <c r="S89" s="24">
        <f>65</f>
        <v>65</v>
      </c>
    </row>
    <row r="90" spans="1:19" s="2" customFormat="1" ht="12.75" customHeight="1">
      <c r="A90" s="133" t="s">
        <v>76</v>
      </c>
      <c r="B90" s="18"/>
      <c r="C90" s="24">
        <v>3633774</v>
      </c>
      <c r="D90" s="16"/>
      <c r="E90" s="24">
        <v>9099568</v>
      </c>
      <c r="F90" s="16"/>
      <c r="G90" s="24">
        <v>0</v>
      </c>
      <c r="H90" s="16"/>
      <c r="I90" s="24">
        <v>2258749</v>
      </c>
      <c r="J90" s="16"/>
      <c r="K90" s="24">
        <v>2688908</v>
      </c>
      <c r="L90" s="16"/>
      <c r="M90" s="24">
        <v>0</v>
      </c>
      <c r="N90" s="14"/>
      <c r="O90" s="40">
        <f t="shared" si="1"/>
        <v>1023755</v>
      </c>
      <c r="P90" s="14"/>
      <c r="Q90" s="24">
        <v>18704754</v>
      </c>
      <c r="R90" s="9"/>
      <c r="S90" s="24">
        <v>200195</v>
      </c>
    </row>
    <row r="91" spans="1:19" s="2" customFormat="1" ht="12.75" customHeight="1">
      <c r="A91" s="133" t="s">
        <v>77</v>
      </c>
      <c r="B91" s="18"/>
      <c r="C91" s="24">
        <v>3800686</v>
      </c>
      <c r="D91" s="16"/>
      <c r="E91" s="24">
        <v>7354644</v>
      </c>
      <c r="F91" s="16"/>
      <c r="G91" s="24">
        <v>0</v>
      </c>
      <c r="H91" s="16"/>
      <c r="I91" s="24">
        <v>2151631</v>
      </c>
      <c r="J91" s="16"/>
      <c r="K91" s="24">
        <v>3118784</v>
      </c>
      <c r="L91" s="16"/>
      <c r="M91" s="24">
        <v>0</v>
      </c>
      <c r="N91" s="14"/>
      <c r="O91" s="40">
        <f t="shared" si="1"/>
        <v>2436711</v>
      </c>
      <c r="P91" s="14"/>
      <c r="Q91" s="24">
        <v>18862456</v>
      </c>
      <c r="R91" s="9"/>
      <c r="S91" s="24">
        <v>25000</v>
      </c>
    </row>
    <row r="92" spans="1:19" s="2" customFormat="1" ht="12.75" customHeight="1">
      <c r="A92" s="133" t="s">
        <v>78</v>
      </c>
      <c r="B92" s="18"/>
      <c r="C92" s="24">
        <v>948957</v>
      </c>
      <c r="D92" s="16"/>
      <c r="E92" s="24">
        <v>3695543</v>
      </c>
      <c r="F92" s="16"/>
      <c r="G92" s="24">
        <v>0</v>
      </c>
      <c r="H92" s="16"/>
      <c r="I92" s="24">
        <v>1096622</v>
      </c>
      <c r="J92" s="16"/>
      <c r="K92" s="24">
        <v>1111342</v>
      </c>
      <c r="L92" s="16"/>
      <c r="M92" s="24">
        <v>0</v>
      </c>
      <c r="N92" s="14"/>
      <c r="O92" s="40">
        <f t="shared" si="1"/>
        <v>801741</v>
      </c>
      <c r="P92" s="14"/>
      <c r="Q92" s="24">
        <v>7654205</v>
      </c>
      <c r="R92" s="9"/>
      <c r="S92" s="24">
        <v>41905</v>
      </c>
    </row>
    <row r="93" spans="1:19" s="2" customFormat="1" ht="12.75" customHeight="1" hidden="1">
      <c r="A93" s="133" t="s">
        <v>79</v>
      </c>
      <c r="B93" s="18"/>
      <c r="C93" s="24">
        <v>0</v>
      </c>
      <c r="D93" s="16"/>
      <c r="E93" s="24">
        <v>0</v>
      </c>
      <c r="F93" s="16"/>
      <c r="G93" s="24">
        <v>0</v>
      </c>
      <c r="H93" s="16"/>
      <c r="I93" s="24">
        <v>0</v>
      </c>
      <c r="J93" s="16"/>
      <c r="K93" s="24">
        <v>0</v>
      </c>
      <c r="L93" s="16"/>
      <c r="M93" s="24">
        <v>0</v>
      </c>
      <c r="N93" s="14"/>
      <c r="O93" s="40">
        <f t="shared" si="1"/>
        <v>0</v>
      </c>
      <c r="P93" s="14"/>
      <c r="Q93" s="24">
        <v>0</v>
      </c>
      <c r="R93" s="9"/>
      <c r="S93" s="24">
        <v>0</v>
      </c>
    </row>
    <row r="94" spans="1:19" s="2" customFormat="1" ht="12.75" customHeight="1">
      <c r="A94" s="133" t="s">
        <v>80</v>
      </c>
      <c r="B94" s="18"/>
      <c r="C94" s="24">
        <v>42718266</v>
      </c>
      <c r="D94" s="16"/>
      <c r="E94" s="24">
        <v>0</v>
      </c>
      <c r="F94" s="16"/>
      <c r="G94" s="24">
        <v>0</v>
      </c>
      <c r="H94" s="16"/>
      <c r="I94" s="24">
        <v>6457922</v>
      </c>
      <c r="J94" s="16"/>
      <c r="K94" s="24">
        <v>5565782</v>
      </c>
      <c r="L94" s="16"/>
      <c r="M94" s="24">
        <v>0</v>
      </c>
      <c r="N94" s="14"/>
      <c r="O94" s="40">
        <f t="shared" si="1"/>
        <v>4515302</v>
      </c>
      <c r="P94" s="14"/>
      <c r="Q94" s="24">
        <v>59257272</v>
      </c>
      <c r="R94" s="9"/>
      <c r="S94" s="24">
        <v>0</v>
      </c>
    </row>
    <row r="95" spans="1:19" s="2" customFormat="1" ht="12.75" customHeight="1">
      <c r="A95" s="133" t="s">
        <v>81</v>
      </c>
      <c r="B95" s="18"/>
      <c r="C95" s="24">
        <v>2310043</v>
      </c>
      <c r="D95" s="16"/>
      <c r="E95" s="24">
        <v>9811460</v>
      </c>
      <c r="F95" s="16"/>
      <c r="G95" s="24">
        <v>0</v>
      </c>
      <c r="H95" s="16"/>
      <c r="I95" s="24">
        <v>2845899</v>
      </c>
      <c r="J95" s="16"/>
      <c r="K95" s="24">
        <v>2266507</v>
      </c>
      <c r="L95" s="16"/>
      <c r="M95" s="24">
        <v>0</v>
      </c>
      <c r="N95" s="14"/>
      <c r="O95" s="40">
        <f t="shared" si="1"/>
        <v>1568943</v>
      </c>
      <c r="P95" s="14"/>
      <c r="Q95" s="24">
        <v>18802852</v>
      </c>
      <c r="R95" s="9"/>
      <c r="S95" s="24">
        <f>21075+39611+159953</f>
        <v>220639</v>
      </c>
    </row>
    <row r="96" spans="1:19" s="2" customFormat="1" ht="12.75" customHeight="1">
      <c r="A96" s="133" t="s">
        <v>82</v>
      </c>
      <c r="B96" s="18"/>
      <c r="C96" s="24">
        <v>3804253</v>
      </c>
      <c r="D96" s="16"/>
      <c r="E96" s="24">
        <v>8106672</v>
      </c>
      <c r="F96" s="16"/>
      <c r="G96" s="24">
        <v>0</v>
      </c>
      <c r="H96" s="16"/>
      <c r="I96" s="24">
        <v>3703681</v>
      </c>
      <c r="J96" s="16"/>
      <c r="K96" s="24">
        <v>3586584</v>
      </c>
      <c r="L96" s="16"/>
      <c r="M96" s="24">
        <v>0</v>
      </c>
      <c r="N96" s="14"/>
      <c r="O96" s="40">
        <f t="shared" si="1"/>
        <v>2512261</v>
      </c>
      <c r="P96" s="14"/>
      <c r="Q96" s="24">
        <v>21713451</v>
      </c>
      <c r="R96" s="9"/>
      <c r="S96" s="24">
        <f>56+97000</f>
        <v>97056</v>
      </c>
    </row>
    <row r="97" spans="1:19" s="2" customFormat="1" ht="12.75" customHeight="1" hidden="1">
      <c r="A97" s="133" t="s">
        <v>174</v>
      </c>
      <c r="B97" s="18"/>
      <c r="C97" s="24">
        <v>0</v>
      </c>
      <c r="D97" s="16"/>
      <c r="E97" s="24">
        <v>0</v>
      </c>
      <c r="F97" s="16"/>
      <c r="G97" s="24">
        <v>0</v>
      </c>
      <c r="H97" s="16"/>
      <c r="I97" s="24">
        <v>0</v>
      </c>
      <c r="J97" s="16"/>
      <c r="K97" s="24">
        <v>0</v>
      </c>
      <c r="L97" s="16"/>
      <c r="M97" s="24">
        <v>0</v>
      </c>
      <c r="N97" s="14"/>
      <c r="O97" s="40">
        <f t="shared" si="1"/>
        <v>0</v>
      </c>
      <c r="P97" s="14"/>
      <c r="Q97" s="24">
        <v>0</v>
      </c>
      <c r="R97" s="9"/>
      <c r="S97" s="24">
        <v>0</v>
      </c>
    </row>
    <row r="98" spans="1:19" s="2" customFormat="1" ht="12.75" customHeight="1">
      <c r="A98" s="133" t="s">
        <v>83</v>
      </c>
      <c r="B98" s="18"/>
      <c r="C98" s="24">
        <v>5979013</v>
      </c>
      <c r="D98" s="16"/>
      <c r="E98" s="24">
        <v>15486671</v>
      </c>
      <c r="F98" s="16"/>
      <c r="G98" s="24">
        <v>25481</v>
      </c>
      <c r="H98" s="16"/>
      <c r="I98" s="24">
        <v>7048648</v>
      </c>
      <c r="J98" s="16"/>
      <c r="K98" s="24">
        <v>4235806</v>
      </c>
      <c r="L98" s="16"/>
      <c r="M98" s="24">
        <v>0</v>
      </c>
      <c r="N98" s="14"/>
      <c r="O98" s="40">
        <f t="shared" si="1"/>
        <v>2484659</v>
      </c>
      <c r="P98" s="14"/>
      <c r="Q98" s="24">
        <v>35260278</v>
      </c>
      <c r="R98" s="9"/>
      <c r="S98" s="24">
        <v>175417</v>
      </c>
    </row>
    <row r="99" spans="1:19" s="2" customFormat="1" ht="12.75" customHeight="1" hidden="1">
      <c r="A99" s="133" t="s">
        <v>175</v>
      </c>
      <c r="B99" s="18"/>
      <c r="C99" s="24">
        <v>0</v>
      </c>
      <c r="D99" s="14"/>
      <c r="E99" s="24">
        <v>0</v>
      </c>
      <c r="F99" s="14"/>
      <c r="G99" s="24">
        <v>0</v>
      </c>
      <c r="H99" s="14"/>
      <c r="I99" s="24">
        <v>0</v>
      </c>
      <c r="J99" s="14"/>
      <c r="K99" s="24">
        <v>0</v>
      </c>
      <c r="L99" s="14"/>
      <c r="M99" s="24">
        <v>0</v>
      </c>
      <c r="N99" s="14"/>
      <c r="O99" s="40">
        <f t="shared" si="1"/>
        <v>0</v>
      </c>
      <c r="P99" s="14"/>
      <c r="Q99" s="24">
        <v>0</v>
      </c>
      <c r="R99" s="9"/>
      <c r="S99" s="24">
        <v>0</v>
      </c>
    </row>
    <row r="100" spans="1:19" s="2" customFormat="1" ht="12.75" customHeight="1">
      <c r="A100" s="133"/>
      <c r="B100" s="18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0"/>
      <c r="P100" s="14"/>
      <c r="Q100" s="14"/>
      <c r="R100" s="9"/>
      <c r="S100" s="9"/>
    </row>
    <row r="101" spans="1:19" s="2" customFormat="1" ht="12.75" customHeight="1">
      <c r="A101" s="133" t="s">
        <v>229</v>
      </c>
      <c r="B101" s="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7"/>
      <c r="P101" s="11"/>
      <c r="Q101" s="11"/>
      <c r="R101" s="9"/>
      <c r="S101" s="9"/>
    </row>
    <row r="102" spans="1:19" s="2" customFormat="1" ht="12.75" customHeight="1">
      <c r="A102" s="137"/>
      <c r="B102" s="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01"/>
      <c r="P102" s="31"/>
      <c r="Q102" s="31"/>
      <c r="R102" s="1"/>
      <c r="S102" s="1"/>
    </row>
    <row r="103" spans="1:19" s="2" customFormat="1" ht="12.75" customHeight="1">
      <c r="A103" s="137"/>
      <c r="B103" s="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01"/>
      <c r="P103" s="31"/>
      <c r="Q103" s="31"/>
      <c r="R103" s="1"/>
      <c r="S103" s="1"/>
    </row>
    <row r="104" spans="1:19" s="2" customFormat="1" ht="12.75" customHeight="1">
      <c r="A104" s="13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9"/>
      <c r="P104" s="1"/>
      <c r="Q104" s="1"/>
      <c r="R104" s="1"/>
      <c r="S104" s="1"/>
    </row>
    <row r="105" spans="1:19" s="2" customFormat="1" ht="12.75" customHeight="1">
      <c r="A105" s="13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9"/>
      <c r="P105" s="1"/>
      <c r="Q105" s="1"/>
      <c r="R105" s="1"/>
      <c r="S105" s="1"/>
    </row>
    <row r="106" spans="1:19" s="2" customFormat="1" ht="12.75" customHeight="1">
      <c r="A106" s="13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9"/>
      <c r="P106" s="1"/>
      <c r="Q106" s="1"/>
      <c r="R106" s="1"/>
      <c r="S106" s="1"/>
    </row>
    <row r="107" spans="1:15" s="2" customFormat="1" ht="12.75" customHeight="1">
      <c r="A107" s="138"/>
      <c r="O107" s="34"/>
    </row>
    <row r="108" spans="1:15" s="2" customFormat="1" ht="12.75" customHeight="1">
      <c r="A108" s="138"/>
      <c r="O108" s="34"/>
    </row>
    <row r="109" spans="1:15" s="2" customFormat="1" ht="12.75" customHeight="1">
      <c r="A109" s="138"/>
      <c r="O109" s="34"/>
    </row>
    <row r="110" spans="1:15" s="2" customFormat="1" ht="12.75" customHeight="1">
      <c r="A110" s="138"/>
      <c r="O110" s="34"/>
    </row>
    <row r="111" spans="1:15" s="2" customFormat="1" ht="12.75" customHeight="1">
      <c r="A111" s="138"/>
      <c r="O111" s="34"/>
    </row>
    <row r="112" spans="1:15" s="2" customFormat="1" ht="12.75" customHeight="1">
      <c r="A112" s="138"/>
      <c r="O112" s="34"/>
    </row>
    <row r="113" spans="1:15" s="2" customFormat="1" ht="12.75" customHeight="1">
      <c r="A113" s="138"/>
      <c r="O113" s="34"/>
    </row>
    <row r="114" ht="12.75" customHeight="1"/>
    <row r="115" ht="12.75" customHeight="1"/>
    <row r="116" ht="12.75" customHeight="1"/>
    <row r="117" ht="12.75" customHeight="1"/>
    <row r="118" ht="12.75" customHeight="1"/>
  </sheetData>
  <sheetProtection/>
  <printOptions/>
  <pageMargins left="0.75" right="0.75" top="0.5" bottom="0.5" header="0" footer="0.25"/>
  <pageSetup firstPageNumber="24" useFirstPageNumber="1" fitToHeight="2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80" max="16" man="1"/>
  </rowBreaks>
  <colBreaks count="1" manualBreakCount="1">
    <brk id="12" min="1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106"/>
  <sheetViews>
    <sheetView zoomScale="120" zoomScaleNormal="120" zoomScalePageLayoutView="0" workbookViewId="0" topLeftCell="A1">
      <pane xSplit="1" ySplit="8" topLeftCell="P60" activePane="bottomRight" state="frozen"/>
      <selection pane="topLeft" activeCell="G4" sqref="G4"/>
      <selection pane="topRight" activeCell="G4" sqref="G4"/>
      <selection pane="bottomLeft" activeCell="G4" sqref="G4"/>
      <selection pane="bottomRight" activeCell="Z86" sqref="Z86"/>
    </sheetView>
  </sheetViews>
  <sheetFormatPr defaultColWidth="9.140625" defaultRowHeight="12" customHeight="1"/>
  <cols>
    <col min="1" max="1" width="15.7109375" style="124" customWidth="1"/>
    <col min="2" max="2" width="1.7109375" style="38" customWidth="1"/>
    <col min="3" max="3" width="11.7109375" style="38" customWidth="1"/>
    <col min="4" max="4" width="1.7109375" style="38" customWidth="1"/>
    <col min="5" max="5" width="11.7109375" style="38" customWidth="1"/>
    <col min="6" max="6" width="1.7109375" style="38" customWidth="1"/>
    <col min="7" max="7" width="11.7109375" style="38" customWidth="1"/>
    <col min="8" max="8" width="1.7109375" style="38" customWidth="1"/>
    <col min="9" max="9" width="11.7109375" style="38" customWidth="1"/>
    <col min="10" max="10" width="1.7109375" style="38" customWidth="1"/>
    <col min="11" max="11" width="11.7109375" style="38" customWidth="1"/>
    <col min="12" max="12" width="1.7109375" style="38" customWidth="1"/>
    <col min="13" max="13" width="11.7109375" style="38" customWidth="1"/>
    <col min="14" max="14" width="1.7109375" style="38" customWidth="1"/>
    <col min="15" max="15" width="11.7109375" style="38" customWidth="1"/>
    <col min="16" max="16" width="1.7109375" style="38" customWidth="1"/>
    <col min="17" max="17" width="11.7109375" style="38" customWidth="1"/>
    <col min="18" max="18" width="1.7109375" style="38" customWidth="1"/>
    <col min="19" max="19" width="11.7109375" style="38" customWidth="1"/>
    <col min="20" max="20" width="1.7109375" style="38" customWidth="1"/>
    <col min="21" max="21" width="11.7109375" style="38" customWidth="1"/>
    <col min="22" max="22" width="1.7109375" style="38" customWidth="1"/>
    <col min="23" max="23" width="11.7109375" style="38" customWidth="1"/>
    <col min="24" max="24" width="1.7109375" style="38" customWidth="1"/>
    <col min="25" max="25" width="11.7109375" style="38" customWidth="1"/>
    <col min="26" max="26" width="1.7109375" style="38" customWidth="1"/>
    <col min="27" max="27" width="11.7109375" style="38" customWidth="1"/>
    <col min="28" max="28" width="1.7109375" style="38" customWidth="1"/>
    <col min="29" max="29" width="11.7109375" style="124" customWidth="1"/>
    <col min="30" max="30" width="1.57421875" style="26" customWidth="1"/>
    <col min="31" max="31" width="12.00390625" style="26" bestFit="1" customWidth="1"/>
    <col min="32" max="32" width="2.57421875" style="26" customWidth="1"/>
    <col min="33" max="33" width="12.57421875" style="26" bestFit="1" customWidth="1"/>
    <col min="34" max="34" width="2.140625" style="26" customWidth="1"/>
    <col min="35" max="35" width="12.8515625" style="26" bestFit="1" customWidth="1"/>
    <col min="36" max="36" width="2.28125" style="26" customWidth="1"/>
    <col min="37" max="37" width="11.7109375" style="97" bestFit="1" customWidth="1"/>
    <col min="38" max="38" width="9.421875" style="26" bestFit="1" customWidth="1"/>
    <col min="39" max="16384" width="9.140625" style="26" customWidth="1"/>
  </cols>
  <sheetData>
    <row r="1" spans="1:31" s="66" customFormat="1" ht="12.75" customHeight="1">
      <c r="A1" s="57" t="s">
        <v>201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4"/>
      <c r="AE1" s="65"/>
    </row>
    <row r="2" spans="1:31" s="66" customFormat="1" ht="12.75" customHeight="1">
      <c r="A2" s="57" t="s">
        <v>254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4"/>
      <c r="AE2" s="65"/>
    </row>
    <row r="3" spans="1:31" ht="12.75" customHeight="1">
      <c r="A3" s="49" t="s">
        <v>249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6"/>
      <c r="AE3" s="67"/>
    </row>
    <row r="4" spans="1:31" ht="12.75" customHeight="1">
      <c r="A4" s="57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36"/>
      <c r="AE4" s="67"/>
    </row>
    <row r="5" spans="1:31" ht="12.75" customHeight="1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36"/>
      <c r="AE5" s="67"/>
    </row>
    <row r="6" spans="1:35" s="33" customFormat="1" ht="12.75" customHeight="1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36"/>
      <c r="AE6" s="36" t="s">
        <v>207</v>
      </c>
      <c r="AG6" s="33" t="s">
        <v>212</v>
      </c>
      <c r="AI6" s="33" t="s">
        <v>215</v>
      </c>
    </row>
    <row r="7" spans="1:37" s="32" customFormat="1" ht="12.75" customHeight="1">
      <c r="A7" s="19"/>
      <c r="B7" s="19"/>
      <c r="C7" s="19" t="s">
        <v>185</v>
      </c>
      <c r="D7" s="19"/>
      <c r="E7" s="19"/>
      <c r="F7" s="19"/>
      <c r="G7" s="19" t="s">
        <v>84</v>
      </c>
      <c r="H7" s="19"/>
      <c r="I7" s="19" t="s">
        <v>84</v>
      </c>
      <c r="J7" s="19"/>
      <c r="K7" s="19"/>
      <c r="L7" s="19"/>
      <c r="M7" s="19" t="s">
        <v>85</v>
      </c>
      <c r="N7" s="19"/>
      <c r="O7" s="19" t="s">
        <v>165</v>
      </c>
      <c r="P7" s="19"/>
      <c r="Q7" s="19" t="s">
        <v>86</v>
      </c>
      <c r="R7" s="19"/>
      <c r="S7" s="19" t="s">
        <v>99</v>
      </c>
      <c r="T7" s="19"/>
      <c r="U7" s="19" t="s">
        <v>87</v>
      </c>
      <c r="V7" s="19"/>
      <c r="W7" s="19" t="s">
        <v>1</v>
      </c>
      <c r="X7" s="19"/>
      <c r="Y7" s="19"/>
      <c r="Z7" s="19"/>
      <c r="AA7" s="19" t="s">
        <v>100</v>
      </c>
      <c r="AB7" s="19"/>
      <c r="AC7" s="19"/>
      <c r="AD7" s="23"/>
      <c r="AE7" s="23" t="s">
        <v>211</v>
      </c>
      <c r="AG7" s="32" t="s">
        <v>213</v>
      </c>
      <c r="AI7" s="32" t="s">
        <v>216</v>
      </c>
      <c r="AK7" s="32" t="s">
        <v>218</v>
      </c>
    </row>
    <row r="8" spans="1:37" s="32" customFormat="1" ht="12.75" customHeight="1">
      <c r="A8" s="53" t="s">
        <v>5</v>
      </c>
      <c r="B8" s="23"/>
      <c r="C8" s="177" t="s">
        <v>186</v>
      </c>
      <c r="D8" s="23"/>
      <c r="E8" s="53" t="s">
        <v>88</v>
      </c>
      <c r="F8" s="23"/>
      <c r="G8" s="53" t="s">
        <v>89</v>
      </c>
      <c r="H8" s="23"/>
      <c r="I8" s="53" t="s">
        <v>90</v>
      </c>
      <c r="J8" s="23"/>
      <c r="K8" s="53" t="s">
        <v>91</v>
      </c>
      <c r="L8" s="23"/>
      <c r="M8" s="53" t="s">
        <v>8</v>
      </c>
      <c r="N8" s="23"/>
      <c r="O8" s="53" t="s">
        <v>166</v>
      </c>
      <c r="P8" s="23"/>
      <c r="Q8" s="53" t="s">
        <v>189</v>
      </c>
      <c r="R8" s="23"/>
      <c r="S8" s="53" t="s">
        <v>92</v>
      </c>
      <c r="T8" s="23"/>
      <c r="U8" s="53" t="s">
        <v>93</v>
      </c>
      <c r="V8" s="23"/>
      <c r="W8" s="53" t="s">
        <v>9</v>
      </c>
      <c r="X8" s="23"/>
      <c r="Y8" s="53" t="s">
        <v>94</v>
      </c>
      <c r="Z8" s="23"/>
      <c r="AA8" s="53" t="s">
        <v>95</v>
      </c>
      <c r="AB8" s="23"/>
      <c r="AC8" s="53" t="s">
        <v>4</v>
      </c>
      <c r="AD8" s="23"/>
      <c r="AE8" s="23" t="s">
        <v>208</v>
      </c>
      <c r="AG8" s="32" t="s">
        <v>214</v>
      </c>
      <c r="AI8" s="32" t="s">
        <v>217</v>
      </c>
      <c r="AK8" s="32" t="s">
        <v>219</v>
      </c>
    </row>
    <row r="9" spans="1:31" s="32" customFormat="1" ht="12.75" customHeight="1">
      <c r="A9" s="19"/>
      <c r="B9" s="23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19"/>
      <c r="T9" s="23"/>
      <c r="U9" s="19"/>
      <c r="V9" s="23"/>
      <c r="W9" s="19"/>
      <c r="X9" s="23"/>
      <c r="Y9" s="19"/>
      <c r="Z9" s="23"/>
      <c r="AA9" s="19"/>
      <c r="AB9" s="23"/>
      <c r="AC9" s="19"/>
      <c r="AD9" s="23"/>
      <c r="AE9" s="23"/>
    </row>
    <row r="10" spans="1:37" s="32" customFormat="1" ht="12.75" customHeight="1" hidden="1">
      <c r="A10" s="89" t="s">
        <v>237</v>
      </c>
      <c r="B10" s="23"/>
      <c r="C10" s="47">
        <v>2068828</v>
      </c>
      <c r="D10" s="47"/>
      <c r="E10" s="47">
        <v>1165405</v>
      </c>
      <c r="F10" s="47"/>
      <c r="G10" s="47">
        <v>1788299</v>
      </c>
      <c r="H10" s="47"/>
      <c r="I10" s="47">
        <v>83754</v>
      </c>
      <c r="J10" s="47"/>
      <c r="K10" s="47">
        <v>51094</v>
      </c>
      <c r="L10" s="47"/>
      <c r="M10" s="47">
        <v>390674</v>
      </c>
      <c r="N10" s="47"/>
      <c r="O10" s="47">
        <v>0</v>
      </c>
      <c r="P10" s="47"/>
      <c r="Q10" s="47">
        <v>0</v>
      </c>
      <c r="R10" s="47"/>
      <c r="S10" s="47">
        <v>1294365</v>
      </c>
      <c r="T10" s="61"/>
      <c r="U10" s="47">
        <v>0</v>
      </c>
      <c r="V10" s="47"/>
      <c r="W10" s="47">
        <v>0</v>
      </c>
      <c r="X10" s="47"/>
      <c r="Y10" s="47">
        <v>0</v>
      </c>
      <c r="Z10" s="47"/>
      <c r="AA10" s="47">
        <v>0</v>
      </c>
      <c r="AB10" s="47"/>
      <c r="AC10" s="61">
        <f>SUM(C10:AA10)</f>
        <v>6842419</v>
      </c>
      <c r="AD10" s="41"/>
      <c r="AE10" s="47">
        <f>50143+158436</f>
        <v>208579</v>
      </c>
      <c r="AG10" s="47">
        <v>1047186</v>
      </c>
      <c r="AI10" s="32">
        <v>0</v>
      </c>
      <c r="AK10" s="32">
        <f>+GenRev!Q10-GenExp!AC10-AE10+GenRev!S10+AG10+AI10-'Gen Fd BS'!O10</f>
        <v>0</v>
      </c>
    </row>
    <row r="11" spans="1:37" s="32" customFormat="1" ht="12.75" customHeight="1">
      <c r="A11" s="23" t="s">
        <v>13</v>
      </c>
      <c r="B11" s="23"/>
      <c r="C11" s="47">
        <v>8731660</v>
      </c>
      <c r="D11" s="47"/>
      <c r="E11" s="47">
        <v>5247919</v>
      </c>
      <c r="F11" s="47"/>
      <c r="G11" s="47">
        <v>8685397</v>
      </c>
      <c r="H11" s="47"/>
      <c r="I11" s="47">
        <v>115446</v>
      </c>
      <c r="J11" s="47"/>
      <c r="K11" s="47">
        <v>203653</v>
      </c>
      <c r="L11" s="47"/>
      <c r="M11" s="47">
        <v>757213</v>
      </c>
      <c r="N11" s="47"/>
      <c r="O11" s="47">
        <v>0</v>
      </c>
      <c r="P11" s="47"/>
      <c r="Q11" s="47">
        <v>258181</v>
      </c>
      <c r="R11" s="47"/>
      <c r="S11" s="47">
        <v>54971</v>
      </c>
      <c r="T11" s="61"/>
      <c r="U11" s="47">
        <v>0</v>
      </c>
      <c r="V11" s="47"/>
      <c r="W11" s="47">
        <v>157409</v>
      </c>
      <c r="X11" s="47"/>
      <c r="Y11" s="47">
        <v>38285</v>
      </c>
      <c r="Z11" s="47"/>
      <c r="AA11" s="47">
        <v>25037</v>
      </c>
      <c r="AB11" s="47"/>
      <c r="AC11" s="61">
        <f>SUM(C11:AA11)</f>
        <v>24275171</v>
      </c>
      <c r="AD11" s="41"/>
      <c r="AE11" s="47">
        <v>845107</v>
      </c>
      <c r="AG11" s="47">
        <v>6590414</v>
      </c>
      <c r="AI11" s="47">
        <v>0</v>
      </c>
      <c r="AK11" s="32">
        <f>+GenRev!Q11-GenExp!AC11-AE11+GenRev!S11+AG11+AI11-'Gen Fd BS'!O11</f>
        <v>0</v>
      </c>
    </row>
    <row r="12" spans="1:37" s="32" customFormat="1" ht="12.75" customHeight="1">
      <c r="A12" s="23" t="s">
        <v>14</v>
      </c>
      <c r="B12" s="23"/>
      <c r="C12" s="30">
        <v>4341554</v>
      </c>
      <c r="D12" s="30"/>
      <c r="E12" s="30">
        <v>1233004</v>
      </c>
      <c r="F12" s="30"/>
      <c r="G12" s="30">
        <f>4295460+140527</f>
        <v>4435987</v>
      </c>
      <c r="H12" s="30"/>
      <c r="I12" s="30">
        <v>63056</v>
      </c>
      <c r="J12" s="30"/>
      <c r="K12" s="30">
        <v>185191</v>
      </c>
      <c r="L12" s="30"/>
      <c r="M12" s="30">
        <v>295880</v>
      </c>
      <c r="N12" s="30"/>
      <c r="O12" s="30">
        <v>0</v>
      </c>
      <c r="P12" s="30"/>
      <c r="Q12" s="30">
        <v>21177</v>
      </c>
      <c r="R12" s="30"/>
      <c r="S12" s="30">
        <v>0</v>
      </c>
      <c r="T12" s="40"/>
      <c r="U12" s="30">
        <v>0</v>
      </c>
      <c r="V12" s="30"/>
      <c r="W12" s="30">
        <v>50000</v>
      </c>
      <c r="X12" s="30"/>
      <c r="Y12" s="30">
        <v>0</v>
      </c>
      <c r="Z12" s="30"/>
      <c r="AA12" s="30">
        <v>0</v>
      </c>
      <c r="AB12" s="30"/>
      <c r="AC12" s="40">
        <f>SUM(C12:AA12)</f>
        <v>10625849</v>
      </c>
      <c r="AD12" s="41"/>
      <c r="AE12" s="30">
        <v>797092</v>
      </c>
      <c r="AG12" s="30">
        <v>2059877</v>
      </c>
      <c r="AI12" s="30">
        <v>0</v>
      </c>
      <c r="AK12" s="32">
        <f>+GenRev!Q12-GenExp!AC12-AE12+GenRev!S12+AG12+AI12-'Gen Fd BS'!O12</f>
        <v>0</v>
      </c>
    </row>
    <row r="13" spans="1:37" s="32" customFormat="1" ht="12.75" customHeight="1">
      <c r="A13" s="23" t="s">
        <v>15</v>
      </c>
      <c r="B13" s="23"/>
      <c r="C13" s="30">
        <v>6220010</v>
      </c>
      <c r="D13" s="30"/>
      <c r="E13" s="30">
        <v>3477800</v>
      </c>
      <c r="F13" s="30"/>
      <c r="G13" s="30">
        <v>5501785</v>
      </c>
      <c r="H13" s="30"/>
      <c r="I13" s="30">
        <v>51936</v>
      </c>
      <c r="J13" s="30"/>
      <c r="K13" s="30">
        <v>221450</v>
      </c>
      <c r="L13" s="30"/>
      <c r="M13" s="30">
        <v>1272783</v>
      </c>
      <c r="N13" s="30"/>
      <c r="O13" s="30">
        <v>0</v>
      </c>
      <c r="P13" s="30"/>
      <c r="Q13" s="30">
        <v>94589</v>
      </c>
      <c r="R13" s="30"/>
      <c r="S13" s="30">
        <v>0</v>
      </c>
      <c r="T13" s="40"/>
      <c r="U13" s="30">
        <v>104498</v>
      </c>
      <c r="V13" s="30"/>
      <c r="W13" s="30">
        <v>0</v>
      </c>
      <c r="X13" s="30"/>
      <c r="Y13" s="30">
        <v>38002</v>
      </c>
      <c r="Z13" s="30"/>
      <c r="AA13" s="30">
        <v>7033</v>
      </c>
      <c r="AB13" s="30"/>
      <c r="AC13" s="40">
        <f aca="true" t="shared" si="0" ref="AC13:AC76">SUM(C13:AA13)</f>
        <v>16989886</v>
      </c>
      <c r="AD13" s="41"/>
      <c r="AE13" s="30">
        <v>2103116</v>
      </c>
      <c r="AG13" s="30">
        <v>2870972</v>
      </c>
      <c r="AI13" s="30">
        <v>0</v>
      </c>
      <c r="AK13" s="32">
        <f>+GenRev!Q13-GenExp!AC13-AE13+GenRev!S13+AG13+AI13-'Gen Fd BS'!O13</f>
        <v>0</v>
      </c>
    </row>
    <row r="14" spans="1:37" s="32" customFormat="1" ht="12.75" customHeight="1">
      <c r="A14" s="23" t="s">
        <v>16</v>
      </c>
      <c r="B14" s="23"/>
      <c r="C14" s="30">
        <v>5386307</v>
      </c>
      <c r="D14" s="30"/>
      <c r="E14" s="30">
        <v>2079042</v>
      </c>
      <c r="F14" s="30"/>
      <c r="G14" s="30">
        <v>3524634</v>
      </c>
      <c r="H14" s="30"/>
      <c r="I14" s="30">
        <v>88500</v>
      </c>
      <c r="J14" s="30"/>
      <c r="K14" s="30">
        <v>427290</v>
      </c>
      <c r="L14" s="30"/>
      <c r="M14" s="30">
        <v>488134</v>
      </c>
      <c r="N14" s="30"/>
      <c r="O14" s="30">
        <v>0</v>
      </c>
      <c r="P14" s="30"/>
      <c r="Q14" s="30">
        <v>5596</v>
      </c>
      <c r="R14" s="30"/>
      <c r="S14" s="30">
        <v>0</v>
      </c>
      <c r="T14" s="40"/>
      <c r="U14" s="30">
        <v>0</v>
      </c>
      <c r="V14" s="30"/>
      <c r="W14" s="30">
        <v>0</v>
      </c>
      <c r="X14" s="30"/>
      <c r="Y14" s="30">
        <v>54320</v>
      </c>
      <c r="Z14" s="30"/>
      <c r="AA14" s="30">
        <v>3849</v>
      </c>
      <c r="AB14" s="30"/>
      <c r="AC14" s="40">
        <f t="shared" si="0"/>
        <v>12057672</v>
      </c>
      <c r="AD14" s="41"/>
      <c r="AE14" s="30">
        <v>1079619</v>
      </c>
      <c r="AG14" s="30">
        <v>2670095</v>
      </c>
      <c r="AI14" s="30">
        <v>0</v>
      </c>
      <c r="AK14" s="32">
        <f>+GenRev!Q14-GenExp!AC14-AE14+GenRev!S14+AG14+AI14-'Gen Fd BS'!O14</f>
        <v>0</v>
      </c>
    </row>
    <row r="15" spans="1:37" s="32" customFormat="1" ht="12.75" customHeight="1">
      <c r="A15" s="23" t="s">
        <v>17</v>
      </c>
      <c r="B15" s="23"/>
      <c r="C15" s="30">
        <v>3265709</v>
      </c>
      <c r="D15" s="30"/>
      <c r="E15" s="30">
        <v>1587145</v>
      </c>
      <c r="F15" s="30"/>
      <c r="G15" s="30">
        <v>4764017</v>
      </c>
      <c r="H15" s="30"/>
      <c r="I15" s="30">
        <v>280850</v>
      </c>
      <c r="J15" s="30"/>
      <c r="K15" s="30">
        <v>79993</v>
      </c>
      <c r="L15" s="30"/>
      <c r="M15" s="30">
        <v>400819</v>
      </c>
      <c r="N15" s="30"/>
      <c r="O15" s="30">
        <v>0</v>
      </c>
      <c r="P15" s="30"/>
      <c r="Q15" s="30">
        <v>0</v>
      </c>
      <c r="R15" s="30"/>
      <c r="S15" s="30">
        <v>1258094</v>
      </c>
      <c r="T15" s="40"/>
      <c r="U15" s="30">
        <v>0</v>
      </c>
      <c r="V15" s="30"/>
      <c r="W15" s="30">
        <v>0</v>
      </c>
      <c r="X15" s="30"/>
      <c r="Y15" s="30">
        <v>0</v>
      </c>
      <c r="Z15" s="30"/>
      <c r="AA15" s="30">
        <v>0</v>
      </c>
      <c r="AB15" s="30"/>
      <c r="AC15" s="40">
        <f t="shared" si="0"/>
        <v>11636627</v>
      </c>
      <c r="AD15" s="41"/>
      <c r="AE15" s="30">
        <v>250000</v>
      </c>
      <c r="AG15" s="30">
        <v>6743976</v>
      </c>
      <c r="AI15" s="30">
        <v>0</v>
      </c>
      <c r="AK15" s="32">
        <f>+GenRev!Q15-GenExp!AC15-AE15+GenRev!S15+AG15+AI15-'Gen Fd BS'!O15</f>
        <v>0</v>
      </c>
    </row>
    <row r="16" spans="1:37" s="32" customFormat="1" ht="12.75" customHeight="1">
      <c r="A16" s="23" t="s">
        <v>18</v>
      </c>
      <c r="B16" s="23"/>
      <c r="C16" s="30">
        <v>8833554</v>
      </c>
      <c r="D16" s="30"/>
      <c r="E16" s="30">
        <v>2117929</v>
      </c>
      <c r="F16" s="30"/>
      <c r="G16" s="30">
        <v>5925996</v>
      </c>
      <c r="H16" s="30"/>
      <c r="I16" s="30">
        <v>285946</v>
      </c>
      <c r="J16" s="30"/>
      <c r="K16" s="30">
        <v>479136</v>
      </c>
      <c r="L16" s="30"/>
      <c r="M16" s="30">
        <v>454642</v>
      </c>
      <c r="N16" s="30"/>
      <c r="O16" s="30">
        <v>0</v>
      </c>
      <c r="P16" s="30"/>
      <c r="Q16" s="30">
        <v>0</v>
      </c>
      <c r="R16" s="30"/>
      <c r="S16" s="30">
        <v>136642</v>
      </c>
      <c r="T16" s="40"/>
      <c r="U16" s="30">
        <v>142873</v>
      </c>
      <c r="V16" s="30"/>
      <c r="W16" s="30">
        <v>0</v>
      </c>
      <c r="X16" s="30"/>
      <c r="Y16" s="30">
        <v>112910</v>
      </c>
      <c r="Z16" s="30"/>
      <c r="AA16" s="30">
        <v>13984</v>
      </c>
      <c r="AB16" s="30"/>
      <c r="AC16" s="40">
        <f t="shared" si="0"/>
        <v>18503612</v>
      </c>
      <c r="AD16" s="41"/>
      <c r="AE16" s="30">
        <v>996301</v>
      </c>
      <c r="AG16" s="30">
        <v>6829301</v>
      </c>
      <c r="AI16" s="30">
        <v>0</v>
      </c>
      <c r="AK16" s="32">
        <f>+GenRev!Q16-GenExp!AC16-AE16+GenRev!S16+AG16+AI16-'Gen Fd BS'!O16</f>
        <v>0</v>
      </c>
    </row>
    <row r="17" spans="1:37" s="32" customFormat="1" ht="12.75" customHeight="1" hidden="1">
      <c r="A17" s="23" t="s">
        <v>240</v>
      </c>
      <c r="B17" s="23"/>
      <c r="C17" s="30">
        <v>0</v>
      </c>
      <c r="D17" s="30"/>
      <c r="E17" s="30">
        <v>0</v>
      </c>
      <c r="F17" s="30"/>
      <c r="G17" s="30">
        <v>0</v>
      </c>
      <c r="H17" s="30"/>
      <c r="I17" s="30">
        <v>0</v>
      </c>
      <c r="J17" s="30"/>
      <c r="K17" s="30">
        <v>0</v>
      </c>
      <c r="L17" s="30"/>
      <c r="M17" s="30">
        <v>0</v>
      </c>
      <c r="N17" s="30"/>
      <c r="O17" s="30">
        <v>0</v>
      </c>
      <c r="P17" s="30"/>
      <c r="Q17" s="30">
        <v>0</v>
      </c>
      <c r="R17" s="30"/>
      <c r="S17" s="30">
        <v>0</v>
      </c>
      <c r="T17" s="40"/>
      <c r="U17" s="30">
        <v>0</v>
      </c>
      <c r="V17" s="30"/>
      <c r="W17" s="30">
        <v>0</v>
      </c>
      <c r="X17" s="30"/>
      <c r="Y17" s="30">
        <v>0</v>
      </c>
      <c r="Z17" s="30"/>
      <c r="AA17" s="30">
        <v>0</v>
      </c>
      <c r="AB17" s="30"/>
      <c r="AC17" s="40">
        <f t="shared" si="0"/>
        <v>0</v>
      </c>
      <c r="AD17" s="41"/>
      <c r="AE17" s="30">
        <v>0</v>
      </c>
      <c r="AG17" s="30">
        <v>0</v>
      </c>
      <c r="AI17" s="30">
        <v>0</v>
      </c>
      <c r="AK17" s="32">
        <f>+GenRev!Q17-GenExp!AC17-AE17+GenRev!S17+AG17+AI17-'Gen Fd BS'!O17</f>
        <v>0</v>
      </c>
    </row>
    <row r="18" spans="1:37" s="32" customFormat="1" ht="12.75" customHeight="1" hidden="1">
      <c r="A18" s="23" t="s">
        <v>238</v>
      </c>
      <c r="B18" s="23"/>
      <c r="C18" s="30">
        <v>0</v>
      </c>
      <c r="D18" s="30"/>
      <c r="E18" s="30">
        <v>0</v>
      </c>
      <c r="F18" s="30"/>
      <c r="G18" s="30">
        <v>0</v>
      </c>
      <c r="H18" s="30"/>
      <c r="I18" s="30">
        <v>0</v>
      </c>
      <c r="J18" s="30"/>
      <c r="K18" s="30">
        <v>0</v>
      </c>
      <c r="L18" s="30"/>
      <c r="M18" s="30">
        <v>0</v>
      </c>
      <c r="N18" s="30"/>
      <c r="O18" s="30">
        <v>0</v>
      </c>
      <c r="P18" s="30"/>
      <c r="Q18" s="30">
        <v>0</v>
      </c>
      <c r="R18" s="30"/>
      <c r="S18" s="30">
        <v>0</v>
      </c>
      <c r="T18" s="40"/>
      <c r="U18" s="30">
        <v>0</v>
      </c>
      <c r="V18" s="30"/>
      <c r="W18" s="30">
        <v>0</v>
      </c>
      <c r="X18" s="30"/>
      <c r="Y18" s="30">
        <v>0</v>
      </c>
      <c r="Z18" s="30"/>
      <c r="AA18" s="30">
        <v>0</v>
      </c>
      <c r="AB18" s="30"/>
      <c r="AC18" s="40">
        <f t="shared" si="0"/>
        <v>0</v>
      </c>
      <c r="AD18" s="41"/>
      <c r="AE18" s="30">
        <v>0</v>
      </c>
      <c r="AG18" s="30">
        <v>0</v>
      </c>
      <c r="AI18" s="30">
        <v>0</v>
      </c>
      <c r="AK18" s="32">
        <f>+GenRev!Q18-GenExp!AC18-AE18+GenRev!S18+AG18+AI18-'Gen Fd BS'!O18</f>
        <v>0</v>
      </c>
    </row>
    <row r="19" spans="1:37" s="32" customFormat="1" ht="12.75" customHeight="1">
      <c r="A19" s="23" t="s">
        <v>20</v>
      </c>
      <c r="B19" s="23"/>
      <c r="C19" s="30">
        <v>1621066</v>
      </c>
      <c r="D19" s="30"/>
      <c r="E19" s="30">
        <v>1002971</v>
      </c>
      <c r="F19" s="30"/>
      <c r="G19" s="30">
        <v>1488931</v>
      </c>
      <c r="H19" s="30"/>
      <c r="I19" s="30">
        <v>2282</v>
      </c>
      <c r="J19" s="30"/>
      <c r="K19" s="30">
        <v>48483</v>
      </c>
      <c r="L19" s="30"/>
      <c r="M19" s="30">
        <v>332356</v>
      </c>
      <c r="N19" s="30"/>
      <c r="O19" s="30">
        <v>24000</v>
      </c>
      <c r="P19" s="30"/>
      <c r="Q19" s="30">
        <v>0</v>
      </c>
      <c r="R19" s="30"/>
      <c r="S19" s="30">
        <v>707784</v>
      </c>
      <c r="T19" s="40"/>
      <c r="U19" s="30">
        <v>61650</v>
      </c>
      <c r="V19" s="30"/>
      <c r="W19" s="30">
        <v>0</v>
      </c>
      <c r="X19" s="30"/>
      <c r="Y19" s="30">
        <v>34390</v>
      </c>
      <c r="Z19" s="30"/>
      <c r="AA19" s="30">
        <v>19969</v>
      </c>
      <c r="AB19" s="30"/>
      <c r="AC19" s="40">
        <f t="shared" si="0"/>
        <v>5343882</v>
      </c>
      <c r="AD19" s="41"/>
      <c r="AE19" s="30">
        <v>253030</v>
      </c>
      <c r="AG19" s="30">
        <v>819319</v>
      </c>
      <c r="AI19" s="30">
        <v>0</v>
      </c>
      <c r="AK19" s="32">
        <f>+GenRev!Q19-GenExp!AC19-AE19+GenRev!S19+AG19+AI19-'Gen Fd BS'!O19</f>
        <v>0</v>
      </c>
    </row>
    <row r="20" spans="1:37" s="32" customFormat="1" ht="12.75" customHeight="1" hidden="1">
      <c r="A20" s="23" t="s">
        <v>173</v>
      </c>
      <c r="B20" s="23"/>
      <c r="C20" s="30">
        <v>0</v>
      </c>
      <c r="D20" s="30"/>
      <c r="E20" s="30">
        <v>0</v>
      </c>
      <c r="F20" s="30"/>
      <c r="G20" s="30">
        <v>0</v>
      </c>
      <c r="H20" s="30"/>
      <c r="I20" s="30">
        <v>0</v>
      </c>
      <c r="J20" s="30"/>
      <c r="K20" s="30">
        <v>0</v>
      </c>
      <c r="L20" s="30"/>
      <c r="M20" s="30">
        <v>0</v>
      </c>
      <c r="N20" s="30"/>
      <c r="O20" s="30">
        <v>0</v>
      </c>
      <c r="P20" s="30"/>
      <c r="Q20" s="30">
        <v>0</v>
      </c>
      <c r="R20" s="30"/>
      <c r="S20" s="30">
        <v>0</v>
      </c>
      <c r="T20" s="40"/>
      <c r="U20" s="30">
        <v>0</v>
      </c>
      <c r="V20" s="30"/>
      <c r="W20" s="30">
        <v>0</v>
      </c>
      <c r="X20" s="30"/>
      <c r="Y20" s="30">
        <v>0</v>
      </c>
      <c r="Z20" s="30"/>
      <c r="AA20" s="30">
        <v>0</v>
      </c>
      <c r="AB20" s="30"/>
      <c r="AC20" s="40">
        <f t="shared" si="0"/>
        <v>0</v>
      </c>
      <c r="AD20" s="41"/>
      <c r="AE20" s="30">
        <v>0</v>
      </c>
      <c r="AG20" s="30">
        <v>0</v>
      </c>
      <c r="AI20" s="30">
        <v>0</v>
      </c>
      <c r="AK20" s="32">
        <f>+GenRev!Q20-GenExp!AC20-AE20+GenRev!S20+AG20+AI20-'Gen Fd BS'!O20</f>
        <v>0</v>
      </c>
    </row>
    <row r="21" spans="1:37" s="32" customFormat="1" ht="12.75" customHeight="1">
      <c r="A21" s="23" t="s">
        <v>21</v>
      </c>
      <c r="B21" s="23"/>
      <c r="C21" s="30">
        <v>4745610</v>
      </c>
      <c r="D21" s="30"/>
      <c r="E21" s="30">
        <v>8858811</v>
      </c>
      <c r="F21" s="30"/>
      <c r="G21" s="30">
        <v>14051392</v>
      </c>
      <c r="H21" s="30"/>
      <c r="I21" s="30">
        <v>3538353</v>
      </c>
      <c r="J21" s="30"/>
      <c r="K21" s="30">
        <v>258141</v>
      </c>
      <c r="L21" s="30"/>
      <c r="M21" s="30">
        <v>705887</v>
      </c>
      <c r="N21" s="30"/>
      <c r="O21" s="30">
        <v>0</v>
      </c>
      <c r="P21" s="30"/>
      <c r="Q21" s="30">
        <v>430420</v>
      </c>
      <c r="R21" s="30"/>
      <c r="S21" s="30">
        <v>0</v>
      </c>
      <c r="T21" s="40"/>
      <c r="U21" s="30">
        <v>0</v>
      </c>
      <c r="V21" s="30"/>
      <c r="W21" s="30">
        <v>0</v>
      </c>
      <c r="X21" s="30"/>
      <c r="Y21" s="30">
        <v>0</v>
      </c>
      <c r="Z21" s="30"/>
      <c r="AA21" s="30">
        <v>0</v>
      </c>
      <c r="AB21" s="30"/>
      <c r="AC21" s="40">
        <f t="shared" si="0"/>
        <v>32588614</v>
      </c>
      <c r="AD21" s="41"/>
      <c r="AE21" s="30">
        <v>2676025</v>
      </c>
      <c r="AG21" s="30">
        <v>9006286</v>
      </c>
      <c r="AI21" s="30">
        <v>0</v>
      </c>
      <c r="AK21" s="32">
        <f>+GenRev!Q21-GenExp!AC21-AE21+GenRev!S21+AG21+AI21-'Gen Fd BS'!O21</f>
        <v>0</v>
      </c>
    </row>
    <row r="22" spans="1:37" s="32" customFormat="1" ht="12.75" customHeight="1">
      <c r="A22" s="23" t="s">
        <v>181</v>
      </c>
      <c r="B22" s="23"/>
      <c r="C22" s="30">
        <v>13259190</v>
      </c>
      <c r="D22" s="30"/>
      <c r="E22" s="30">
        <v>8613858</v>
      </c>
      <c r="F22" s="30"/>
      <c r="G22" s="30">
        <v>20626144</v>
      </c>
      <c r="H22" s="30"/>
      <c r="I22" s="30">
        <v>139032</v>
      </c>
      <c r="J22" s="30"/>
      <c r="K22" s="30">
        <v>452899</v>
      </c>
      <c r="L22" s="30"/>
      <c r="M22" s="30">
        <v>1547508</v>
      </c>
      <c r="N22" s="30"/>
      <c r="O22" s="30">
        <f>75734+534763</f>
        <v>610497</v>
      </c>
      <c r="P22" s="30"/>
      <c r="Q22" s="30">
        <v>0</v>
      </c>
      <c r="R22" s="30"/>
      <c r="S22" s="30">
        <v>0</v>
      </c>
      <c r="T22" s="40"/>
      <c r="U22" s="30">
        <v>0</v>
      </c>
      <c r="V22" s="30"/>
      <c r="W22" s="30">
        <v>0</v>
      </c>
      <c r="X22" s="30"/>
      <c r="Y22" s="30">
        <v>0</v>
      </c>
      <c r="Z22" s="30"/>
      <c r="AA22" s="30">
        <v>0</v>
      </c>
      <c r="AB22" s="30"/>
      <c r="AC22" s="40">
        <f t="shared" si="0"/>
        <v>45249128</v>
      </c>
      <c r="AD22" s="41"/>
      <c r="AE22" s="30">
        <v>2972853</v>
      </c>
      <c r="AG22" s="30">
        <v>16016252</v>
      </c>
      <c r="AI22" s="30">
        <v>0</v>
      </c>
      <c r="AK22" s="32">
        <f>+GenRev!Q22-GenExp!AC22-AE22+GenRev!S22+AG22+AI22-'Gen Fd BS'!O22</f>
        <v>0</v>
      </c>
    </row>
    <row r="23" spans="1:37" s="32" customFormat="1" ht="12.75" customHeight="1">
      <c r="A23" s="23" t="s">
        <v>22</v>
      </c>
      <c r="B23" s="23"/>
      <c r="C23" s="30">
        <v>5718056</v>
      </c>
      <c r="D23" s="30"/>
      <c r="E23" s="30">
        <v>2566390</v>
      </c>
      <c r="F23" s="30"/>
      <c r="G23" s="30">
        <v>3796147</v>
      </c>
      <c r="H23" s="30"/>
      <c r="I23" s="30">
        <v>114028</v>
      </c>
      <c r="J23" s="30"/>
      <c r="K23" s="30">
        <v>87348</v>
      </c>
      <c r="L23" s="30"/>
      <c r="M23" s="30">
        <v>277887</v>
      </c>
      <c r="N23" s="30"/>
      <c r="O23" s="30">
        <v>0</v>
      </c>
      <c r="P23" s="30"/>
      <c r="Q23" s="30">
        <v>0</v>
      </c>
      <c r="R23" s="30"/>
      <c r="S23" s="30">
        <v>505358</v>
      </c>
      <c r="T23" s="40"/>
      <c r="U23" s="30">
        <v>38734</v>
      </c>
      <c r="V23" s="30"/>
      <c r="W23" s="30">
        <v>0</v>
      </c>
      <c r="X23" s="30"/>
      <c r="Y23" s="30">
        <v>7420</v>
      </c>
      <c r="Z23" s="30"/>
      <c r="AA23" s="30">
        <v>1426</v>
      </c>
      <c r="AB23" s="30"/>
      <c r="AC23" s="40">
        <f t="shared" si="0"/>
        <v>13112794</v>
      </c>
      <c r="AD23" s="41"/>
      <c r="AE23" s="30">
        <v>3717</v>
      </c>
      <c r="AG23" s="30">
        <v>3183414</v>
      </c>
      <c r="AI23" s="30">
        <v>0</v>
      </c>
      <c r="AK23" s="32">
        <f>+GenRev!Q23-GenExp!AC23-AE23+GenRev!S23+AG23+AI23-'Gen Fd BS'!O23</f>
        <v>0</v>
      </c>
    </row>
    <row r="24" spans="1:37" s="32" customFormat="1" ht="12.75" customHeight="1" hidden="1">
      <c r="A24" s="23" t="s">
        <v>23</v>
      </c>
      <c r="B24" s="23"/>
      <c r="C24" s="30">
        <v>0</v>
      </c>
      <c r="D24" s="30"/>
      <c r="E24" s="30">
        <v>0</v>
      </c>
      <c r="F24" s="30"/>
      <c r="G24" s="30">
        <v>0</v>
      </c>
      <c r="H24" s="30"/>
      <c r="I24" s="30">
        <v>0</v>
      </c>
      <c r="J24" s="30"/>
      <c r="K24" s="30">
        <v>0</v>
      </c>
      <c r="L24" s="30"/>
      <c r="M24" s="30">
        <v>0</v>
      </c>
      <c r="N24" s="30"/>
      <c r="O24" s="30">
        <v>0</v>
      </c>
      <c r="P24" s="30"/>
      <c r="Q24" s="30">
        <v>0</v>
      </c>
      <c r="R24" s="30"/>
      <c r="S24" s="30">
        <v>0</v>
      </c>
      <c r="T24" s="40"/>
      <c r="U24" s="30">
        <v>0</v>
      </c>
      <c r="V24" s="30"/>
      <c r="W24" s="30">
        <v>0</v>
      </c>
      <c r="X24" s="30"/>
      <c r="Y24" s="30">
        <v>0</v>
      </c>
      <c r="Z24" s="30"/>
      <c r="AA24" s="30">
        <v>0</v>
      </c>
      <c r="AB24" s="30"/>
      <c r="AC24" s="40">
        <f t="shared" si="0"/>
        <v>0</v>
      </c>
      <c r="AD24" s="41"/>
      <c r="AE24" s="30">
        <v>0</v>
      </c>
      <c r="AG24" s="30">
        <v>0</v>
      </c>
      <c r="AI24" s="30">
        <v>0</v>
      </c>
      <c r="AK24" s="32">
        <f>+GenRev!Q24-GenExp!AC24-AE24+GenRev!S24+AG24+AI24-'Gen Fd BS'!O24</f>
        <v>0</v>
      </c>
    </row>
    <row r="25" spans="1:37" s="32" customFormat="1" ht="12.75" customHeight="1">
      <c r="A25" s="23" t="s">
        <v>24</v>
      </c>
      <c r="B25" s="23"/>
      <c r="C25" s="30">
        <v>2740674</v>
      </c>
      <c r="D25" s="30"/>
      <c r="E25" s="30">
        <v>1708223</v>
      </c>
      <c r="F25" s="30"/>
      <c r="G25" s="30">
        <v>2818300</v>
      </c>
      <c r="H25" s="30"/>
      <c r="I25" s="30">
        <v>149787</v>
      </c>
      <c r="J25" s="30"/>
      <c r="K25" s="30">
        <v>80206</v>
      </c>
      <c r="L25" s="30"/>
      <c r="M25" s="30">
        <v>336139</v>
      </c>
      <c r="N25" s="30"/>
      <c r="O25" s="30">
        <v>0</v>
      </c>
      <c r="P25" s="30"/>
      <c r="Q25" s="30">
        <v>154177</v>
      </c>
      <c r="R25" s="30"/>
      <c r="S25" s="30">
        <v>383109</v>
      </c>
      <c r="T25" s="40"/>
      <c r="U25" s="30">
        <v>0</v>
      </c>
      <c r="V25" s="30"/>
      <c r="W25" s="30">
        <v>0</v>
      </c>
      <c r="X25" s="30"/>
      <c r="Y25" s="30">
        <v>36575</v>
      </c>
      <c r="Z25" s="30"/>
      <c r="AA25" s="30">
        <v>6700</v>
      </c>
      <c r="AB25" s="30"/>
      <c r="AC25" s="40">
        <f t="shared" si="0"/>
        <v>8413890</v>
      </c>
      <c r="AD25" s="41"/>
      <c r="AE25" s="30">
        <v>284671</v>
      </c>
      <c r="AG25" s="30">
        <v>1437132</v>
      </c>
      <c r="AI25" s="30">
        <v>0</v>
      </c>
      <c r="AK25" s="32">
        <f>+GenRev!Q25-GenExp!AC25-AE25+GenRev!S25+AG25+AI25-'Gen Fd BS'!O25</f>
        <v>0</v>
      </c>
    </row>
    <row r="26" spans="1:37" s="32" customFormat="1" ht="12.75" customHeight="1">
      <c r="A26" s="23" t="s">
        <v>243</v>
      </c>
      <c r="B26" s="23"/>
      <c r="C26" s="30">
        <v>3220533</v>
      </c>
      <c r="D26" s="30"/>
      <c r="E26" s="30">
        <v>1770439</v>
      </c>
      <c r="F26" s="30"/>
      <c r="G26" s="30">
        <v>2282011</v>
      </c>
      <c r="H26" s="30"/>
      <c r="I26" s="30">
        <v>151969</v>
      </c>
      <c r="J26" s="30"/>
      <c r="K26" s="30">
        <v>286128</v>
      </c>
      <c r="L26" s="30"/>
      <c r="M26" s="30">
        <v>294117</v>
      </c>
      <c r="N26" s="30"/>
      <c r="O26" s="30">
        <v>0</v>
      </c>
      <c r="P26" s="30"/>
      <c r="Q26" s="30">
        <v>0</v>
      </c>
      <c r="R26" s="30"/>
      <c r="S26" s="30">
        <v>0</v>
      </c>
      <c r="T26" s="40"/>
      <c r="U26" s="30">
        <v>17003</v>
      </c>
      <c r="V26" s="30"/>
      <c r="W26" s="30">
        <v>0</v>
      </c>
      <c r="X26" s="30"/>
      <c r="Y26" s="30">
        <v>0</v>
      </c>
      <c r="Z26" s="30"/>
      <c r="AA26" s="30">
        <v>0</v>
      </c>
      <c r="AB26" s="30"/>
      <c r="AC26" s="40">
        <f t="shared" si="0"/>
        <v>8022200</v>
      </c>
      <c r="AD26" s="41"/>
      <c r="AE26" s="30">
        <v>1595852</v>
      </c>
      <c r="AG26" s="30">
        <v>3225419</v>
      </c>
      <c r="AI26" s="30">
        <v>0</v>
      </c>
      <c r="AK26" s="32">
        <f>+GenRev!Q26-GenExp!AC26-AE26+GenRev!S26+AG26+AI26-'Gen Fd BS'!O26</f>
        <v>0</v>
      </c>
    </row>
    <row r="27" spans="1:37" s="32" customFormat="1" ht="12.75" customHeight="1">
      <c r="A27" s="23" t="s">
        <v>25</v>
      </c>
      <c r="B27" s="23"/>
      <c r="C27" s="30">
        <f>60845*1000</f>
        <v>60845000</v>
      </c>
      <c r="D27" s="30"/>
      <c r="E27" s="30">
        <f>236363*1000</f>
        <v>236363000</v>
      </c>
      <c r="F27" s="30"/>
      <c r="G27" s="30">
        <v>0</v>
      </c>
      <c r="H27" s="30"/>
      <c r="I27" s="30">
        <v>0</v>
      </c>
      <c r="J27" s="30"/>
      <c r="K27" s="30">
        <f>364*1000</f>
        <v>364000</v>
      </c>
      <c r="L27" s="30"/>
      <c r="M27" s="30">
        <f>6517*1000</f>
        <v>6517000</v>
      </c>
      <c r="N27" s="30"/>
      <c r="O27" s="30">
        <f>15028*1000</f>
        <v>15028000</v>
      </c>
      <c r="P27" s="30"/>
      <c r="Q27" s="30">
        <v>0</v>
      </c>
      <c r="R27" s="30"/>
      <c r="S27" s="30">
        <v>0</v>
      </c>
      <c r="T27" s="40"/>
      <c r="U27" s="30">
        <v>0</v>
      </c>
      <c r="V27" s="30"/>
      <c r="W27" s="30">
        <v>0</v>
      </c>
      <c r="X27" s="30"/>
      <c r="Y27" s="30">
        <f>444*1000</f>
        <v>444000</v>
      </c>
      <c r="Z27" s="30"/>
      <c r="AA27" s="30">
        <f>453*1000</f>
        <v>453000</v>
      </c>
      <c r="AB27" s="30"/>
      <c r="AC27" s="40">
        <f t="shared" si="0"/>
        <v>320014000</v>
      </c>
      <c r="AD27" s="41"/>
      <c r="AE27" s="30">
        <f>(4507+9117)*1000</f>
        <v>13624000</v>
      </c>
      <c r="AG27" s="30">
        <f>247237*1000</f>
        <v>247237000</v>
      </c>
      <c r="AI27" s="30">
        <v>0</v>
      </c>
      <c r="AK27" s="32">
        <f>+GenRev!Q27-GenExp!AC27-AE27+GenRev!S27+AG27+AI27-'Gen Fd BS'!O27</f>
        <v>0</v>
      </c>
    </row>
    <row r="28" spans="1:37" s="32" customFormat="1" ht="12.75" customHeight="1" hidden="1">
      <c r="A28" s="23" t="s">
        <v>26</v>
      </c>
      <c r="B28" s="23"/>
      <c r="C28" s="30">
        <v>0</v>
      </c>
      <c r="D28" s="30"/>
      <c r="E28" s="30">
        <v>0</v>
      </c>
      <c r="F28" s="30"/>
      <c r="G28" s="30">
        <v>0</v>
      </c>
      <c r="H28" s="30"/>
      <c r="I28" s="30">
        <v>0</v>
      </c>
      <c r="J28" s="30"/>
      <c r="K28" s="30">
        <v>0</v>
      </c>
      <c r="L28" s="30"/>
      <c r="M28" s="30">
        <v>0</v>
      </c>
      <c r="N28" s="30"/>
      <c r="O28" s="30">
        <v>0</v>
      </c>
      <c r="P28" s="30"/>
      <c r="Q28" s="30">
        <v>0</v>
      </c>
      <c r="R28" s="30"/>
      <c r="S28" s="30">
        <v>0</v>
      </c>
      <c r="T28" s="40"/>
      <c r="U28" s="30">
        <v>0</v>
      </c>
      <c r="V28" s="30"/>
      <c r="W28" s="30">
        <v>0</v>
      </c>
      <c r="X28" s="30"/>
      <c r="Y28" s="30">
        <v>0</v>
      </c>
      <c r="Z28" s="30"/>
      <c r="AA28" s="30">
        <v>0</v>
      </c>
      <c r="AB28" s="30"/>
      <c r="AC28" s="40">
        <f t="shared" si="0"/>
        <v>0</v>
      </c>
      <c r="AD28" s="41"/>
      <c r="AE28" s="30">
        <v>0</v>
      </c>
      <c r="AG28" s="30">
        <v>0</v>
      </c>
      <c r="AI28" s="30">
        <v>0</v>
      </c>
      <c r="AK28" s="32">
        <f>+GenRev!Q28-GenExp!AC28-AE28+GenRev!S28+AG28+AI28-'Gen Fd BS'!O28</f>
        <v>0</v>
      </c>
    </row>
    <row r="29" spans="1:37" s="32" customFormat="1" ht="12.75" customHeight="1">
      <c r="A29" s="23" t="s">
        <v>27</v>
      </c>
      <c r="B29" s="23"/>
      <c r="C29" s="30">
        <v>4288737</v>
      </c>
      <c r="D29" s="30"/>
      <c r="E29" s="30">
        <v>1219060</v>
      </c>
      <c r="F29" s="30"/>
      <c r="G29" s="30">
        <v>2085271</v>
      </c>
      <c r="H29" s="30"/>
      <c r="I29" s="30">
        <v>46150</v>
      </c>
      <c r="J29" s="30"/>
      <c r="K29" s="30">
        <v>71325</v>
      </c>
      <c r="L29" s="30"/>
      <c r="M29" s="30">
        <v>297935</v>
      </c>
      <c r="N29" s="30"/>
      <c r="O29" s="30">
        <v>72765</v>
      </c>
      <c r="P29" s="30"/>
      <c r="Q29" s="30">
        <v>0</v>
      </c>
      <c r="R29" s="30"/>
      <c r="S29" s="30">
        <v>513726</v>
      </c>
      <c r="T29" s="40"/>
      <c r="U29" s="30">
        <v>70545</v>
      </c>
      <c r="V29" s="30"/>
      <c r="W29" s="30">
        <v>0</v>
      </c>
      <c r="X29" s="30"/>
      <c r="Y29" s="30">
        <v>16232</v>
      </c>
      <c r="Z29" s="30"/>
      <c r="AA29" s="30">
        <v>5782</v>
      </c>
      <c r="AB29" s="30"/>
      <c r="AC29" s="40">
        <f t="shared" si="0"/>
        <v>8687528</v>
      </c>
      <c r="AD29" s="41"/>
      <c r="AE29" s="30">
        <f>405225</f>
        <v>405225</v>
      </c>
      <c r="AG29" s="30">
        <v>9176825</v>
      </c>
      <c r="AI29" s="30">
        <v>0</v>
      </c>
      <c r="AK29" s="32">
        <f>+GenRev!Q29-GenExp!AC29-AE29+GenRev!S29+AG29+AI29-'Gen Fd BS'!O29</f>
        <v>0</v>
      </c>
    </row>
    <row r="30" spans="1:37" s="32" customFormat="1" ht="12.75" customHeight="1">
      <c r="A30" s="23" t="s">
        <v>28</v>
      </c>
      <c r="B30" s="23"/>
      <c r="C30" s="30">
        <v>11529992</v>
      </c>
      <c r="D30" s="30"/>
      <c r="E30" s="30">
        <v>7985897</v>
      </c>
      <c r="F30" s="30"/>
      <c r="G30" s="30">
        <v>27555735</v>
      </c>
      <c r="H30" s="30"/>
      <c r="I30" s="30">
        <v>6858993</v>
      </c>
      <c r="J30" s="30"/>
      <c r="K30" s="30">
        <v>60000</v>
      </c>
      <c r="L30" s="30"/>
      <c r="M30" s="30">
        <v>345544</v>
      </c>
      <c r="N30" s="30"/>
      <c r="O30" s="30">
        <v>0</v>
      </c>
      <c r="P30" s="30"/>
      <c r="Q30" s="30">
        <f>34937+552800</f>
        <v>587737</v>
      </c>
      <c r="R30" s="30"/>
      <c r="S30" s="30">
        <v>0</v>
      </c>
      <c r="T30" s="40"/>
      <c r="U30" s="30">
        <v>0</v>
      </c>
      <c r="V30" s="30"/>
      <c r="W30" s="30">
        <v>0</v>
      </c>
      <c r="X30" s="30"/>
      <c r="Y30" s="30">
        <v>0</v>
      </c>
      <c r="Z30" s="30"/>
      <c r="AA30" s="30">
        <v>0</v>
      </c>
      <c r="AB30" s="30"/>
      <c r="AC30" s="40">
        <f t="shared" si="0"/>
        <v>54923898</v>
      </c>
      <c r="AD30" s="41"/>
      <c r="AE30" s="30">
        <v>13043449</v>
      </c>
      <c r="AG30" s="30">
        <v>22614286</v>
      </c>
      <c r="AI30" s="30">
        <v>0</v>
      </c>
      <c r="AK30" s="32">
        <f>+GenRev!Q30-GenExp!AC30-AE30+GenRev!S30+AG30+AI30-'Gen Fd BS'!O30</f>
        <v>0</v>
      </c>
    </row>
    <row r="31" spans="1:37" s="32" customFormat="1" ht="12.75" customHeight="1">
      <c r="A31" s="23" t="s">
        <v>29</v>
      </c>
      <c r="B31" s="23"/>
      <c r="C31" s="30">
        <v>8735375</v>
      </c>
      <c r="D31" s="30"/>
      <c r="E31" s="30">
        <v>4510478</v>
      </c>
      <c r="F31" s="30"/>
      <c r="G31" s="30">
        <v>7160840</v>
      </c>
      <c r="H31" s="30"/>
      <c r="I31" s="30">
        <v>62007</v>
      </c>
      <c r="J31" s="30"/>
      <c r="K31" s="30">
        <v>3139</v>
      </c>
      <c r="L31" s="30"/>
      <c r="M31" s="30">
        <v>564514</v>
      </c>
      <c r="N31" s="30"/>
      <c r="O31" s="30">
        <v>0</v>
      </c>
      <c r="P31" s="30"/>
      <c r="Q31" s="30">
        <v>0</v>
      </c>
      <c r="R31" s="30"/>
      <c r="S31" s="30">
        <v>0</v>
      </c>
      <c r="T31" s="40"/>
      <c r="U31" s="30">
        <v>0</v>
      </c>
      <c r="V31" s="30"/>
      <c r="W31" s="30">
        <v>0</v>
      </c>
      <c r="X31" s="30"/>
      <c r="Y31" s="30">
        <v>16613</v>
      </c>
      <c r="Z31" s="30"/>
      <c r="AA31" s="30">
        <v>1162</v>
      </c>
      <c r="AB31" s="30"/>
      <c r="AC31" s="40">
        <f t="shared" si="0"/>
        <v>21054128</v>
      </c>
      <c r="AD31" s="41"/>
      <c r="AE31" s="30">
        <v>2705197</v>
      </c>
      <c r="AG31" s="30">
        <v>6151181</v>
      </c>
      <c r="AI31" s="30">
        <v>0</v>
      </c>
      <c r="AK31" s="32">
        <f>+GenRev!Q31-GenExp!AC31-AE31+GenRev!S31+AG31+AI31-'Gen Fd BS'!O31</f>
        <v>0</v>
      </c>
    </row>
    <row r="32" spans="1:37" s="32" customFormat="1" ht="12.75" customHeight="1">
      <c r="A32" s="23" t="s">
        <v>30</v>
      </c>
      <c r="B32" s="23"/>
      <c r="C32" s="30">
        <v>9413841</v>
      </c>
      <c r="D32" s="30"/>
      <c r="E32" s="30">
        <v>4132289</v>
      </c>
      <c r="F32" s="30"/>
      <c r="G32" s="30">
        <v>13016410</v>
      </c>
      <c r="H32" s="30"/>
      <c r="I32" s="30">
        <v>0</v>
      </c>
      <c r="J32" s="30"/>
      <c r="K32" s="30">
        <v>715802</v>
      </c>
      <c r="L32" s="30"/>
      <c r="M32" s="30">
        <v>836042</v>
      </c>
      <c r="N32" s="30"/>
      <c r="O32" s="30">
        <v>0</v>
      </c>
      <c r="P32" s="30"/>
      <c r="Q32" s="30">
        <v>0</v>
      </c>
      <c r="R32" s="30"/>
      <c r="S32" s="30">
        <f>92781+59696</f>
        <v>152477</v>
      </c>
      <c r="T32" s="40"/>
      <c r="U32" s="30">
        <v>0</v>
      </c>
      <c r="V32" s="30"/>
      <c r="W32" s="30">
        <v>1635496</v>
      </c>
      <c r="X32" s="30"/>
      <c r="Y32" s="30">
        <v>45773</v>
      </c>
      <c r="Z32" s="30"/>
      <c r="AA32" s="30">
        <v>7951</v>
      </c>
      <c r="AB32" s="30"/>
      <c r="AC32" s="40">
        <f t="shared" si="0"/>
        <v>29956081</v>
      </c>
      <c r="AD32" s="41"/>
      <c r="AE32" s="30">
        <v>3386773</v>
      </c>
      <c r="AG32" s="30">
        <v>11066121</v>
      </c>
      <c r="AI32" s="30">
        <v>0</v>
      </c>
      <c r="AK32" s="32">
        <f>+GenRev!Q32-GenExp!AC32-AE32+GenRev!S32+AG32+AI32-'Gen Fd BS'!O32</f>
        <v>0</v>
      </c>
    </row>
    <row r="33" spans="1:37" s="32" customFormat="1" ht="12.75" customHeight="1" hidden="1">
      <c r="A33" s="23" t="s">
        <v>239</v>
      </c>
      <c r="B33" s="23"/>
      <c r="C33" s="30">
        <v>0</v>
      </c>
      <c r="D33" s="30"/>
      <c r="E33" s="30">
        <v>0</v>
      </c>
      <c r="F33" s="30"/>
      <c r="G33" s="30">
        <v>0</v>
      </c>
      <c r="H33" s="30"/>
      <c r="I33" s="30">
        <v>0</v>
      </c>
      <c r="J33" s="30"/>
      <c r="K33" s="30">
        <v>0</v>
      </c>
      <c r="L33" s="30"/>
      <c r="M33" s="30">
        <v>0</v>
      </c>
      <c r="N33" s="30"/>
      <c r="O33" s="30">
        <v>0</v>
      </c>
      <c r="P33" s="30"/>
      <c r="Q33" s="30">
        <v>0</v>
      </c>
      <c r="R33" s="30"/>
      <c r="S33" s="30">
        <v>0</v>
      </c>
      <c r="T33" s="40"/>
      <c r="U33" s="30">
        <v>0</v>
      </c>
      <c r="V33" s="30"/>
      <c r="W33" s="30">
        <v>0</v>
      </c>
      <c r="X33" s="30"/>
      <c r="Y33" s="30">
        <v>0</v>
      </c>
      <c r="Z33" s="30"/>
      <c r="AA33" s="30">
        <v>0</v>
      </c>
      <c r="AB33" s="30"/>
      <c r="AC33" s="40">
        <f t="shared" si="0"/>
        <v>0</v>
      </c>
      <c r="AD33" s="41"/>
      <c r="AE33" s="30">
        <v>0</v>
      </c>
      <c r="AG33" s="30">
        <v>0</v>
      </c>
      <c r="AI33" s="30">
        <v>0</v>
      </c>
      <c r="AK33" s="32">
        <f>+GenRev!Q33-GenExp!AC33-AE33+GenRev!S33+AG33+AI33-'Gen Fd BS'!O33</f>
        <v>0</v>
      </c>
    </row>
    <row r="34" spans="1:37" s="32" customFormat="1" ht="12.75" customHeight="1">
      <c r="A34" s="23" t="s">
        <v>32</v>
      </c>
      <c r="B34" s="23"/>
      <c r="C34" s="30">
        <f>81482*1000</f>
        <v>81482000</v>
      </c>
      <c r="D34" s="30"/>
      <c r="E34" s="30">
        <f>67876*1000</f>
        <v>67876000</v>
      </c>
      <c r="F34" s="30"/>
      <c r="G34" s="30">
        <f>115326*1000</f>
        <v>115326000</v>
      </c>
      <c r="H34" s="30"/>
      <c r="I34" s="30">
        <f>519*1000</f>
        <v>519000</v>
      </c>
      <c r="J34" s="30"/>
      <c r="K34" s="30">
        <v>0</v>
      </c>
      <c r="L34" s="30"/>
      <c r="M34" s="30">
        <f>4767*1000</f>
        <v>4767000</v>
      </c>
      <c r="N34" s="30"/>
      <c r="O34" s="30">
        <f>1923*1000</f>
        <v>1923000</v>
      </c>
      <c r="P34" s="30"/>
      <c r="Q34" s="30">
        <v>0</v>
      </c>
      <c r="R34" s="30"/>
      <c r="S34" s="30">
        <v>0</v>
      </c>
      <c r="T34" s="40"/>
      <c r="U34" s="30">
        <f>190*1000</f>
        <v>190000</v>
      </c>
      <c r="V34" s="30"/>
      <c r="W34" s="32">
        <f>6349*1000</f>
        <v>6349000</v>
      </c>
      <c r="Y34" s="32">
        <f>440*1000</f>
        <v>440000</v>
      </c>
      <c r="AA34" s="32">
        <f>111*1000</f>
        <v>111000</v>
      </c>
      <c r="AB34" s="30"/>
      <c r="AC34" s="40">
        <f>SUM(C34:AA34)</f>
        <v>278983000</v>
      </c>
      <c r="AD34" s="41"/>
      <c r="AE34" s="30">
        <f>31300*1000</f>
        <v>31300000</v>
      </c>
      <c r="AG34" s="30">
        <f>261801*1000</f>
        <v>261801000</v>
      </c>
      <c r="AI34" s="30">
        <v>0</v>
      </c>
      <c r="AK34" s="32">
        <f>+GenRev!Q34-GenExp!AC34-AE34+GenRev!S34+AG34+AI34-'Gen Fd BS'!O34</f>
        <v>0</v>
      </c>
    </row>
    <row r="35" spans="1:37" s="32" customFormat="1" ht="12.75" customHeight="1">
      <c r="A35" s="23" t="s">
        <v>33</v>
      </c>
      <c r="B35" s="23"/>
      <c r="C35" s="30">
        <v>3576366</v>
      </c>
      <c r="D35" s="30"/>
      <c r="E35" s="30">
        <v>1407629</v>
      </c>
      <c r="F35" s="30"/>
      <c r="G35" s="30">
        <v>3185007</v>
      </c>
      <c r="H35" s="30"/>
      <c r="I35" s="30">
        <v>14340</v>
      </c>
      <c r="J35" s="30"/>
      <c r="K35" s="30">
        <v>81160</v>
      </c>
      <c r="L35" s="30"/>
      <c r="M35" s="30">
        <v>567510</v>
      </c>
      <c r="N35" s="30"/>
      <c r="O35" s="30">
        <v>0</v>
      </c>
      <c r="P35" s="30"/>
      <c r="Q35" s="30">
        <v>0</v>
      </c>
      <c r="R35" s="30"/>
      <c r="S35" s="30">
        <v>14766</v>
      </c>
      <c r="T35" s="40"/>
      <c r="U35" s="30">
        <v>88177</v>
      </c>
      <c r="V35" s="30"/>
      <c r="W35" s="32">
        <v>616371</v>
      </c>
      <c r="Y35" s="32">
        <v>3226</v>
      </c>
      <c r="AA35" s="32">
        <v>518</v>
      </c>
      <c r="AB35" s="30"/>
      <c r="AC35" s="40">
        <f t="shared" si="0"/>
        <v>9555070</v>
      </c>
      <c r="AD35" s="41"/>
      <c r="AE35" s="30">
        <v>412493</v>
      </c>
      <c r="AG35" s="30">
        <v>3853535</v>
      </c>
      <c r="AI35" s="30">
        <v>0</v>
      </c>
      <c r="AK35" s="32">
        <f>+GenRev!Q35-GenExp!AC35-AE35+GenRev!S35+AG35+AI35-'Gen Fd BS'!O35</f>
        <v>0</v>
      </c>
    </row>
    <row r="36" spans="1:37" s="32" customFormat="1" ht="12.75" customHeight="1">
      <c r="A36" s="23" t="s">
        <v>34</v>
      </c>
      <c r="B36" s="23"/>
      <c r="C36" s="30">
        <v>2518018</v>
      </c>
      <c r="D36" s="30"/>
      <c r="E36" s="30">
        <v>1166640</v>
      </c>
      <c r="F36" s="30"/>
      <c r="G36" s="30">
        <v>2754170</v>
      </c>
      <c r="H36" s="30"/>
      <c r="I36" s="30">
        <v>280932</v>
      </c>
      <c r="J36" s="30"/>
      <c r="K36" s="30">
        <v>124277</v>
      </c>
      <c r="L36" s="30"/>
      <c r="M36" s="30">
        <v>301343</v>
      </c>
      <c r="N36" s="30"/>
      <c r="O36" s="30">
        <v>0</v>
      </c>
      <c r="P36" s="30"/>
      <c r="Q36" s="30">
        <v>178749</v>
      </c>
      <c r="R36" s="30"/>
      <c r="S36" s="30">
        <v>222086</v>
      </c>
      <c r="T36" s="40"/>
      <c r="U36" s="30">
        <v>103948</v>
      </c>
      <c r="V36" s="30"/>
      <c r="W36" s="30">
        <v>0</v>
      </c>
      <c r="X36" s="30"/>
      <c r="Y36" s="30">
        <v>0</v>
      </c>
      <c r="Z36" s="30"/>
      <c r="AA36" s="30">
        <v>0</v>
      </c>
      <c r="AB36" s="30"/>
      <c r="AC36" s="40">
        <f t="shared" si="0"/>
        <v>7650163</v>
      </c>
      <c r="AD36" s="41"/>
      <c r="AE36" s="30">
        <v>1186845</v>
      </c>
      <c r="AG36" s="30">
        <v>1719534</v>
      </c>
      <c r="AI36" s="30">
        <v>0</v>
      </c>
      <c r="AK36" s="32">
        <f>+GenRev!Q36-GenExp!AC36-AE36+GenRev!S36+AG36+AI36-'Gen Fd BS'!O36</f>
        <v>0</v>
      </c>
    </row>
    <row r="37" spans="1:37" s="32" customFormat="1" ht="12.75" customHeight="1">
      <c r="A37" s="23" t="s">
        <v>35</v>
      </c>
      <c r="B37" s="23"/>
      <c r="C37" s="30">
        <v>8898745</v>
      </c>
      <c r="D37" s="30"/>
      <c r="E37" s="30">
        <v>2900838</v>
      </c>
      <c r="F37" s="30"/>
      <c r="G37" s="30">
        <v>10671722</v>
      </c>
      <c r="H37" s="30"/>
      <c r="I37" s="30">
        <v>161582</v>
      </c>
      <c r="J37" s="30"/>
      <c r="K37" s="30">
        <v>630334</v>
      </c>
      <c r="L37" s="30"/>
      <c r="M37" s="30">
        <v>364722</v>
      </c>
      <c r="N37" s="30"/>
      <c r="O37" s="30">
        <v>0</v>
      </c>
      <c r="P37" s="30"/>
      <c r="Q37" s="30">
        <v>0</v>
      </c>
      <c r="R37" s="30"/>
      <c r="S37" s="30">
        <v>0</v>
      </c>
      <c r="T37" s="40"/>
      <c r="U37" s="30">
        <v>0</v>
      </c>
      <c r="V37" s="30"/>
      <c r="W37" s="30">
        <v>0</v>
      </c>
      <c r="X37" s="30"/>
      <c r="Y37" s="30">
        <v>2126</v>
      </c>
      <c r="Z37" s="30"/>
      <c r="AA37" s="30">
        <v>0</v>
      </c>
      <c r="AB37" s="30"/>
      <c r="AC37" s="40">
        <f t="shared" si="0"/>
        <v>23630069</v>
      </c>
      <c r="AD37" s="41"/>
      <c r="AE37" s="30">
        <v>2551280</v>
      </c>
      <c r="AG37" s="30">
        <v>6302678</v>
      </c>
      <c r="AI37" s="30">
        <v>0</v>
      </c>
      <c r="AK37" s="32">
        <f>+GenRev!Q37-GenExp!AC37-AE37+GenRev!S37+AG37+AI37-'Gen Fd BS'!O37</f>
        <v>0</v>
      </c>
    </row>
    <row r="38" spans="1:37" s="32" customFormat="1" ht="12.75" customHeight="1">
      <c r="A38" s="23" t="s">
        <v>182</v>
      </c>
      <c r="B38" s="23"/>
      <c r="C38" s="30">
        <v>14066353</v>
      </c>
      <c r="D38" s="30"/>
      <c r="E38" s="30">
        <v>6348622</v>
      </c>
      <c r="F38" s="30"/>
      <c r="G38" s="30">
        <v>13854987</v>
      </c>
      <c r="H38" s="30"/>
      <c r="I38" s="30">
        <v>698703</v>
      </c>
      <c r="J38" s="30"/>
      <c r="K38" s="30">
        <v>355689</v>
      </c>
      <c r="L38" s="30"/>
      <c r="M38" s="30">
        <v>698499</v>
      </c>
      <c r="N38" s="30"/>
      <c r="O38" s="30">
        <v>528157</v>
      </c>
      <c r="P38" s="30"/>
      <c r="Q38" s="30">
        <v>2208555</v>
      </c>
      <c r="R38" s="30"/>
      <c r="S38" s="30">
        <v>0</v>
      </c>
      <c r="T38" s="40"/>
      <c r="U38" s="30">
        <v>0</v>
      </c>
      <c r="V38" s="30"/>
      <c r="W38" s="30">
        <v>0</v>
      </c>
      <c r="X38" s="30"/>
      <c r="Y38" s="30">
        <v>514434</v>
      </c>
      <c r="Z38" s="30"/>
      <c r="AA38" s="30">
        <v>7718</v>
      </c>
      <c r="AB38" s="30"/>
      <c r="AC38" s="40">
        <f>SUM(C38:AA38)</f>
        <v>39281717</v>
      </c>
      <c r="AD38" s="41"/>
      <c r="AE38" s="30">
        <v>1907472</v>
      </c>
      <c r="AG38" s="30">
        <v>14285874</v>
      </c>
      <c r="AI38" s="30">
        <v>0</v>
      </c>
      <c r="AK38" s="32">
        <f>+GenRev!Q38-GenExp!AC38-AE38+GenRev!S38+AG38+AI38-'Gen Fd BS'!O38</f>
        <v>0</v>
      </c>
    </row>
    <row r="39" spans="1:37" s="32" customFormat="1" ht="12.75" customHeight="1" hidden="1">
      <c r="A39" s="23" t="s">
        <v>244</v>
      </c>
      <c r="B39" s="23"/>
      <c r="C39" s="24">
        <v>0</v>
      </c>
      <c r="D39" s="30"/>
      <c r="E39" s="24">
        <v>0</v>
      </c>
      <c r="F39" s="30"/>
      <c r="G39" s="24">
        <v>0</v>
      </c>
      <c r="H39" s="30"/>
      <c r="I39" s="24">
        <v>0</v>
      </c>
      <c r="J39" s="30"/>
      <c r="K39" s="24">
        <v>0</v>
      </c>
      <c r="L39" s="30"/>
      <c r="M39" s="24">
        <v>0</v>
      </c>
      <c r="N39" s="30"/>
      <c r="O39" s="24">
        <v>0</v>
      </c>
      <c r="P39" s="30"/>
      <c r="Q39" s="24">
        <v>0</v>
      </c>
      <c r="R39" s="30"/>
      <c r="S39" s="24">
        <v>0</v>
      </c>
      <c r="T39" s="40"/>
      <c r="U39" s="24">
        <v>0</v>
      </c>
      <c r="V39" s="30"/>
      <c r="W39" s="24">
        <v>0</v>
      </c>
      <c r="X39" s="30"/>
      <c r="Y39" s="24">
        <v>0</v>
      </c>
      <c r="Z39" s="30"/>
      <c r="AA39" s="24">
        <v>0</v>
      </c>
      <c r="AB39" s="30"/>
      <c r="AC39" s="40">
        <f t="shared" si="0"/>
        <v>0</v>
      </c>
      <c r="AD39" s="41"/>
      <c r="AE39" s="24">
        <v>0</v>
      </c>
      <c r="AG39" s="24">
        <v>0</v>
      </c>
      <c r="AI39" s="24">
        <v>0</v>
      </c>
      <c r="AK39" s="32">
        <f>+GenRev!Q39-GenExp!AC39-AE39+GenRev!S39+AG39+AI39-'Gen Fd BS'!O39</f>
        <v>0</v>
      </c>
    </row>
    <row r="40" spans="1:37" s="32" customFormat="1" ht="12.75" customHeight="1" hidden="1">
      <c r="A40" s="23" t="s">
        <v>37</v>
      </c>
      <c r="B40" s="23"/>
      <c r="C40" s="24">
        <v>0</v>
      </c>
      <c r="D40" s="30"/>
      <c r="E40" s="24">
        <v>0</v>
      </c>
      <c r="F40" s="30"/>
      <c r="G40" s="24">
        <v>0</v>
      </c>
      <c r="H40" s="30"/>
      <c r="I40" s="24">
        <v>0</v>
      </c>
      <c r="J40" s="30"/>
      <c r="K40" s="24">
        <v>0</v>
      </c>
      <c r="L40" s="30"/>
      <c r="M40" s="24">
        <v>0</v>
      </c>
      <c r="N40" s="30"/>
      <c r="O40" s="24">
        <v>0</v>
      </c>
      <c r="P40" s="30"/>
      <c r="Q40" s="24">
        <v>0</v>
      </c>
      <c r="R40" s="30"/>
      <c r="S40" s="24">
        <v>0</v>
      </c>
      <c r="T40" s="40"/>
      <c r="U40" s="24">
        <v>0</v>
      </c>
      <c r="V40" s="30"/>
      <c r="W40" s="24">
        <v>0</v>
      </c>
      <c r="X40" s="30"/>
      <c r="Y40" s="24">
        <v>0</v>
      </c>
      <c r="Z40" s="30"/>
      <c r="AA40" s="24">
        <v>0</v>
      </c>
      <c r="AB40" s="30"/>
      <c r="AC40" s="40">
        <f t="shared" si="0"/>
        <v>0</v>
      </c>
      <c r="AD40" s="41"/>
      <c r="AE40" s="24">
        <v>0</v>
      </c>
      <c r="AG40" s="24">
        <v>0</v>
      </c>
      <c r="AI40" s="24">
        <v>0</v>
      </c>
      <c r="AK40" s="32">
        <f>+GenRev!Q40-GenExp!AC40-AE40+GenRev!S40+AG40+AI40-'Gen Fd BS'!O40</f>
        <v>0</v>
      </c>
    </row>
    <row r="41" spans="1:37" s="32" customFormat="1" ht="12.75" customHeight="1">
      <c r="A41" s="23" t="s">
        <v>38</v>
      </c>
      <c r="B41" s="23"/>
      <c r="C41" s="24">
        <v>5102502</v>
      </c>
      <c r="D41" s="30"/>
      <c r="E41" s="24">
        <v>2970853</v>
      </c>
      <c r="F41" s="30"/>
      <c r="G41" s="24">
        <v>5638275</v>
      </c>
      <c r="H41" s="30"/>
      <c r="I41" s="24">
        <v>110960</v>
      </c>
      <c r="J41" s="30"/>
      <c r="K41" s="24">
        <v>434545</v>
      </c>
      <c r="L41" s="30"/>
      <c r="M41" s="24">
        <v>531621</v>
      </c>
      <c r="N41" s="30"/>
      <c r="O41" s="24">
        <v>44896</v>
      </c>
      <c r="P41" s="30"/>
      <c r="Q41" s="24">
        <v>361976</v>
      </c>
      <c r="R41" s="30"/>
      <c r="S41" s="24">
        <v>0</v>
      </c>
      <c r="T41" s="40"/>
      <c r="U41" s="24">
        <v>0</v>
      </c>
      <c r="V41" s="30"/>
      <c r="W41" s="24">
        <v>0</v>
      </c>
      <c r="X41" s="30"/>
      <c r="Y41" s="24">
        <v>7985</v>
      </c>
      <c r="Z41" s="30"/>
      <c r="AA41" s="24">
        <v>928</v>
      </c>
      <c r="AB41" s="30"/>
      <c r="AC41" s="40">
        <f t="shared" si="0"/>
        <v>15204541</v>
      </c>
      <c r="AD41" s="41"/>
      <c r="AE41" s="24">
        <v>4189011</v>
      </c>
      <c r="AG41" s="24">
        <v>3714291</v>
      </c>
      <c r="AI41" s="24">
        <v>0</v>
      </c>
      <c r="AK41" s="32">
        <f>+GenRev!Q41-GenExp!AC41-AE41+GenRev!S41+AG41+AI41-'Gen Fd BS'!O41</f>
        <v>0</v>
      </c>
    </row>
    <row r="42" spans="1:37" s="32" customFormat="1" ht="12.75" customHeight="1" hidden="1">
      <c r="A42" s="23" t="s">
        <v>168</v>
      </c>
      <c r="B42" s="23"/>
      <c r="C42" s="24">
        <v>0</v>
      </c>
      <c r="D42" s="30"/>
      <c r="E42" s="24">
        <v>0</v>
      </c>
      <c r="F42" s="30"/>
      <c r="G42" s="24">
        <v>0</v>
      </c>
      <c r="H42" s="30"/>
      <c r="I42" s="24">
        <v>0</v>
      </c>
      <c r="J42" s="30"/>
      <c r="K42" s="24">
        <v>0</v>
      </c>
      <c r="L42" s="30"/>
      <c r="M42" s="24">
        <v>0</v>
      </c>
      <c r="N42" s="30"/>
      <c r="O42" s="24">
        <v>0</v>
      </c>
      <c r="P42" s="30"/>
      <c r="Q42" s="24">
        <v>0</v>
      </c>
      <c r="R42" s="30"/>
      <c r="S42" s="24">
        <v>0</v>
      </c>
      <c r="T42" s="40"/>
      <c r="U42" s="24">
        <v>0</v>
      </c>
      <c r="V42" s="30"/>
      <c r="W42" s="24">
        <v>0</v>
      </c>
      <c r="X42" s="30"/>
      <c r="Y42" s="24">
        <v>0</v>
      </c>
      <c r="Z42" s="30"/>
      <c r="AA42" s="24">
        <v>0</v>
      </c>
      <c r="AB42" s="30"/>
      <c r="AC42" s="40">
        <f t="shared" si="0"/>
        <v>0</v>
      </c>
      <c r="AD42" s="41"/>
      <c r="AE42" s="24">
        <v>0</v>
      </c>
      <c r="AG42" s="24">
        <v>0</v>
      </c>
      <c r="AI42" s="24">
        <v>0</v>
      </c>
      <c r="AK42" s="32">
        <f>+GenRev!Q42-GenExp!AC42-AE42+GenRev!S42+AG42+AI42-'Gen Fd BS'!O42</f>
        <v>0</v>
      </c>
    </row>
    <row r="43" spans="1:37" s="32" customFormat="1" ht="12.75" customHeight="1" hidden="1">
      <c r="A43" s="23" t="s">
        <v>39</v>
      </c>
      <c r="B43" s="23"/>
      <c r="C43" s="24">
        <v>0</v>
      </c>
      <c r="D43" s="30"/>
      <c r="E43" s="24">
        <v>0</v>
      </c>
      <c r="F43" s="30"/>
      <c r="G43" s="24">
        <v>0</v>
      </c>
      <c r="H43" s="30"/>
      <c r="I43" s="24">
        <v>0</v>
      </c>
      <c r="J43" s="30"/>
      <c r="K43" s="24">
        <v>0</v>
      </c>
      <c r="L43" s="30"/>
      <c r="M43" s="24">
        <v>0</v>
      </c>
      <c r="N43" s="30"/>
      <c r="O43" s="24">
        <v>0</v>
      </c>
      <c r="P43" s="30"/>
      <c r="Q43" s="24">
        <v>0</v>
      </c>
      <c r="R43" s="30"/>
      <c r="S43" s="24">
        <v>0</v>
      </c>
      <c r="T43" s="40"/>
      <c r="U43" s="24">
        <v>0</v>
      </c>
      <c r="V43" s="30"/>
      <c r="W43" s="24">
        <v>0</v>
      </c>
      <c r="X43" s="30"/>
      <c r="Y43" s="24">
        <v>0</v>
      </c>
      <c r="Z43" s="30"/>
      <c r="AA43" s="24">
        <v>0</v>
      </c>
      <c r="AB43" s="30"/>
      <c r="AC43" s="40">
        <f t="shared" si="0"/>
        <v>0</v>
      </c>
      <c r="AD43" s="41"/>
      <c r="AE43" s="24">
        <v>0</v>
      </c>
      <c r="AG43" s="24">
        <v>0</v>
      </c>
      <c r="AI43" s="24">
        <v>0</v>
      </c>
      <c r="AK43" s="32">
        <f>+GenRev!Q43-GenExp!AC43-AE43+GenRev!S43+AG43+AI43-'Gen Fd BS'!O43</f>
        <v>0</v>
      </c>
    </row>
    <row r="44" spans="1:37" s="32" customFormat="1" ht="12.75" customHeight="1">
      <c r="A44" s="23" t="s">
        <v>40</v>
      </c>
      <c r="B44" s="23"/>
      <c r="C44" s="24">
        <v>2063559</v>
      </c>
      <c r="D44" s="30"/>
      <c r="E44" s="24">
        <v>1286266</v>
      </c>
      <c r="F44" s="30"/>
      <c r="G44" s="24">
        <v>2664513</v>
      </c>
      <c r="H44" s="30"/>
      <c r="I44" s="24">
        <v>18867</v>
      </c>
      <c r="J44" s="30"/>
      <c r="K44" s="24">
        <v>37974</v>
      </c>
      <c r="L44" s="30"/>
      <c r="M44" s="24">
        <v>291554</v>
      </c>
      <c r="N44" s="30"/>
      <c r="O44" s="24">
        <v>154215</v>
      </c>
      <c r="P44" s="30"/>
      <c r="Q44" s="24">
        <v>0</v>
      </c>
      <c r="R44" s="30"/>
      <c r="S44" s="24">
        <v>108415</v>
      </c>
      <c r="T44" s="40"/>
      <c r="U44" s="24">
        <v>13515</v>
      </c>
      <c r="V44" s="30"/>
      <c r="W44" s="24">
        <v>285907</v>
      </c>
      <c r="X44" s="30"/>
      <c r="Y44" s="24">
        <v>0</v>
      </c>
      <c r="Z44" s="30"/>
      <c r="AA44" s="24">
        <v>0</v>
      </c>
      <c r="AB44" s="30"/>
      <c r="AC44" s="40">
        <f t="shared" si="0"/>
        <v>6924785</v>
      </c>
      <c r="AD44" s="41"/>
      <c r="AE44" s="24">
        <v>1704211</v>
      </c>
      <c r="AG44" s="24">
        <v>4624605</v>
      </c>
      <c r="AI44" s="24">
        <v>0</v>
      </c>
      <c r="AK44" s="32">
        <f>+GenRev!Q44-GenExp!AC44-AE44+GenRev!S44+AG44+AI44-'Gen Fd BS'!O44</f>
        <v>0</v>
      </c>
    </row>
    <row r="45" spans="1:37" s="32" customFormat="1" ht="12.75" customHeight="1" hidden="1">
      <c r="A45" s="23" t="s">
        <v>41</v>
      </c>
      <c r="B45" s="23"/>
      <c r="C45" s="24">
        <v>0</v>
      </c>
      <c r="D45" s="30"/>
      <c r="E45" s="24">
        <v>0</v>
      </c>
      <c r="F45" s="30"/>
      <c r="G45" s="24">
        <v>0</v>
      </c>
      <c r="H45" s="30"/>
      <c r="I45" s="24">
        <v>0</v>
      </c>
      <c r="J45" s="30"/>
      <c r="K45" s="24">
        <v>0</v>
      </c>
      <c r="L45" s="30"/>
      <c r="M45" s="24">
        <v>0</v>
      </c>
      <c r="N45" s="30"/>
      <c r="O45" s="24">
        <v>0</v>
      </c>
      <c r="P45" s="30"/>
      <c r="Q45" s="24">
        <v>0</v>
      </c>
      <c r="R45" s="30"/>
      <c r="S45" s="24">
        <v>0</v>
      </c>
      <c r="T45" s="40"/>
      <c r="U45" s="24">
        <v>0</v>
      </c>
      <c r="V45" s="30"/>
      <c r="W45" s="24">
        <v>0</v>
      </c>
      <c r="X45" s="30"/>
      <c r="Y45" s="24">
        <v>0</v>
      </c>
      <c r="Z45" s="30"/>
      <c r="AA45" s="24">
        <v>0</v>
      </c>
      <c r="AB45" s="30"/>
      <c r="AC45" s="40">
        <f t="shared" si="0"/>
        <v>0</v>
      </c>
      <c r="AD45" s="41"/>
      <c r="AE45" s="24">
        <v>0</v>
      </c>
      <c r="AG45" s="24">
        <v>0</v>
      </c>
      <c r="AI45" s="24">
        <v>0</v>
      </c>
      <c r="AK45" s="32">
        <f>+GenRev!Q45-GenExp!AC45-AE45+GenRev!S45+AG45+AI45-'Gen Fd BS'!O45</f>
        <v>0</v>
      </c>
    </row>
    <row r="46" spans="1:37" s="32" customFormat="1" ht="12.75" customHeight="1">
      <c r="A46" s="23" t="s">
        <v>42</v>
      </c>
      <c r="B46" s="23"/>
      <c r="C46" s="24">
        <v>1976993</v>
      </c>
      <c r="D46" s="145"/>
      <c r="E46" s="24">
        <v>1450677</v>
      </c>
      <c r="F46" s="145"/>
      <c r="G46" s="24">
        <v>1991320</v>
      </c>
      <c r="H46" s="145"/>
      <c r="I46" s="24">
        <v>40145</v>
      </c>
      <c r="J46" s="145"/>
      <c r="K46" s="24">
        <v>70756</v>
      </c>
      <c r="L46" s="145"/>
      <c r="M46" s="24">
        <v>372097</v>
      </c>
      <c r="N46" s="145"/>
      <c r="O46" s="24">
        <v>53533</v>
      </c>
      <c r="P46" s="145"/>
      <c r="Q46" s="24">
        <v>255206</v>
      </c>
      <c r="R46" s="145"/>
      <c r="S46" s="24">
        <v>70763</v>
      </c>
      <c r="T46" s="147"/>
      <c r="U46" s="24">
        <v>19678</v>
      </c>
      <c r="V46" s="145"/>
      <c r="W46" s="24">
        <v>12866</v>
      </c>
      <c r="X46" s="145"/>
      <c r="Y46" s="24">
        <v>46793</v>
      </c>
      <c r="Z46" s="145"/>
      <c r="AA46" s="24">
        <v>2249</v>
      </c>
      <c r="AB46" s="145"/>
      <c r="AC46" s="147">
        <f t="shared" si="0"/>
        <v>6363076</v>
      </c>
      <c r="AD46" s="150"/>
      <c r="AE46" s="24">
        <v>401909</v>
      </c>
      <c r="AF46" s="151"/>
      <c r="AG46" s="24">
        <v>2661969</v>
      </c>
      <c r="AH46" s="151"/>
      <c r="AI46" s="24">
        <v>0</v>
      </c>
      <c r="AJ46" s="151"/>
      <c r="AK46" s="32">
        <f>+GenRev!Q46-GenExp!AC46-AE46+GenRev!S46+AG46+AI46-'Gen Fd BS'!O46</f>
        <v>0</v>
      </c>
    </row>
    <row r="47" spans="1:37" s="32" customFormat="1" ht="12.75" customHeight="1">
      <c r="A47" s="23" t="s">
        <v>43</v>
      </c>
      <c r="B47" s="23"/>
      <c r="C47" s="24">
        <v>2849833</v>
      </c>
      <c r="D47" s="145"/>
      <c r="E47" s="24">
        <v>1596406</v>
      </c>
      <c r="F47" s="145"/>
      <c r="G47" s="24">
        <v>2927844</v>
      </c>
      <c r="H47" s="145"/>
      <c r="I47" s="24">
        <v>0</v>
      </c>
      <c r="J47" s="145"/>
      <c r="K47" s="24">
        <v>80793</v>
      </c>
      <c r="L47" s="145"/>
      <c r="M47" s="24">
        <v>323232</v>
      </c>
      <c r="N47" s="145"/>
      <c r="O47" s="24">
        <v>0</v>
      </c>
      <c r="P47" s="145"/>
      <c r="Q47" s="24">
        <v>207858</v>
      </c>
      <c r="R47" s="145"/>
      <c r="S47" s="24">
        <v>0</v>
      </c>
      <c r="T47" s="147"/>
      <c r="U47" s="24">
        <v>8109</v>
      </c>
      <c r="V47" s="145"/>
      <c r="W47" s="24">
        <v>0</v>
      </c>
      <c r="X47" s="145"/>
      <c r="Y47" s="24">
        <v>949</v>
      </c>
      <c r="Z47" s="145"/>
      <c r="AA47" s="24">
        <v>476</v>
      </c>
      <c r="AB47" s="145"/>
      <c r="AC47" s="147">
        <f t="shared" si="0"/>
        <v>7995500</v>
      </c>
      <c r="AD47" s="150"/>
      <c r="AE47" s="24">
        <v>531880</v>
      </c>
      <c r="AF47" s="151"/>
      <c r="AG47" s="24">
        <v>1057458</v>
      </c>
      <c r="AH47" s="151"/>
      <c r="AI47" s="24">
        <v>0</v>
      </c>
      <c r="AJ47" s="151"/>
      <c r="AK47" s="32">
        <f>+GenRev!Q47-GenExp!AC47-AE47+GenRev!S47+AG47+AI47-'Gen Fd BS'!O47</f>
        <v>0</v>
      </c>
    </row>
    <row r="48" spans="1:37" s="32" customFormat="1" ht="12.75" customHeight="1" hidden="1">
      <c r="A48" s="23" t="s">
        <v>44</v>
      </c>
      <c r="B48" s="23"/>
      <c r="C48" s="24">
        <v>0</v>
      </c>
      <c r="D48" s="145"/>
      <c r="E48" s="24">
        <v>0</v>
      </c>
      <c r="F48" s="145"/>
      <c r="G48" s="24">
        <v>0</v>
      </c>
      <c r="H48" s="145"/>
      <c r="I48" s="24">
        <v>0</v>
      </c>
      <c r="J48" s="145"/>
      <c r="K48" s="24">
        <v>0</v>
      </c>
      <c r="L48" s="145"/>
      <c r="M48" s="24">
        <v>0</v>
      </c>
      <c r="N48" s="145"/>
      <c r="O48" s="24">
        <v>0</v>
      </c>
      <c r="P48" s="145"/>
      <c r="Q48" s="24">
        <v>0</v>
      </c>
      <c r="R48" s="145"/>
      <c r="S48" s="24">
        <v>0</v>
      </c>
      <c r="T48" s="147"/>
      <c r="U48" s="24">
        <v>0</v>
      </c>
      <c r="V48" s="145"/>
      <c r="W48" s="24">
        <v>0</v>
      </c>
      <c r="X48" s="145"/>
      <c r="Y48" s="24">
        <v>0</v>
      </c>
      <c r="Z48" s="145"/>
      <c r="AA48" s="24">
        <v>0</v>
      </c>
      <c r="AB48" s="145"/>
      <c r="AC48" s="147">
        <f t="shared" si="0"/>
        <v>0</v>
      </c>
      <c r="AD48" s="150"/>
      <c r="AE48" s="24">
        <v>0</v>
      </c>
      <c r="AF48" s="151"/>
      <c r="AG48" s="24">
        <v>0</v>
      </c>
      <c r="AH48" s="151"/>
      <c r="AI48" s="24">
        <v>0</v>
      </c>
      <c r="AJ48" s="151"/>
      <c r="AK48" s="32">
        <f>+GenRev!Q48-GenExp!AC48-AE48+GenRev!S48+AG48+AI48-'Gen Fd BS'!O48</f>
        <v>0</v>
      </c>
    </row>
    <row r="49" spans="1:37" s="32" customFormat="1" ht="12.75" customHeight="1" hidden="1">
      <c r="A49" s="23" t="s">
        <v>241</v>
      </c>
      <c r="B49" s="23"/>
      <c r="C49" s="24">
        <v>0</v>
      </c>
      <c r="D49" s="145"/>
      <c r="E49" s="24">
        <v>0</v>
      </c>
      <c r="F49" s="145"/>
      <c r="G49" s="24">
        <v>0</v>
      </c>
      <c r="H49" s="145"/>
      <c r="I49" s="24">
        <v>0</v>
      </c>
      <c r="J49" s="145"/>
      <c r="K49" s="24">
        <v>0</v>
      </c>
      <c r="L49" s="145"/>
      <c r="M49" s="24">
        <v>0</v>
      </c>
      <c r="N49" s="145"/>
      <c r="O49" s="24">
        <v>0</v>
      </c>
      <c r="P49" s="145"/>
      <c r="Q49" s="24">
        <v>0</v>
      </c>
      <c r="R49" s="145"/>
      <c r="S49" s="24">
        <v>0</v>
      </c>
      <c r="T49" s="147"/>
      <c r="U49" s="24">
        <v>0</v>
      </c>
      <c r="V49" s="145"/>
      <c r="W49" s="24">
        <v>0</v>
      </c>
      <c r="X49" s="145"/>
      <c r="Y49" s="24">
        <v>0</v>
      </c>
      <c r="Z49" s="145"/>
      <c r="AA49" s="24">
        <v>0</v>
      </c>
      <c r="AB49" s="145"/>
      <c r="AC49" s="147">
        <f t="shared" si="0"/>
        <v>0</v>
      </c>
      <c r="AD49" s="150"/>
      <c r="AE49" s="24">
        <v>0</v>
      </c>
      <c r="AF49" s="151"/>
      <c r="AG49" s="24">
        <v>0</v>
      </c>
      <c r="AH49" s="151"/>
      <c r="AI49" s="24">
        <v>0</v>
      </c>
      <c r="AJ49" s="151"/>
      <c r="AK49" s="151">
        <f>+'[1]GenRev'!Q49-'[1]GenExp'!AC49-AE49+'[1]GenRev'!S49+AG49+AI49-'[1]Gen Fd BS'!O49</f>
        <v>0</v>
      </c>
    </row>
    <row r="50" spans="1:37" s="32" customFormat="1" ht="12.75" customHeight="1">
      <c r="A50" s="23" t="s">
        <v>46</v>
      </c>
      <c r="B50" s="23"/>
      <c r="C50" s="24">
        <v>4570671</v>
      </c>
      <c r="D50" s="145"/>
      <c r="E50" s="24">
        <v>3296545</v>
      </c>
      <c r="F50" s="145"/>
      <c r="G50" s="24">
        <v>180157</v>
      </c>
      <c r="H50" s="145"/>
      <c r="I50" s="24">
        <v>0</v>
      </c>
      <c r="J50" s="145"/>
      <c r="K50" s="24">
        <v>213964</v>
      </c>
      <c r="L50" s="145"/>
      <c r="M50" s="24">
        <v>798695</v>
      </c>
      <c r="N50" s="145"/>
      <c r="O50" s="24">
        <v>75000</v>
      </c>
      <c r="P50" s="145"/>
      <c r="Q50" s="24">
        <v>0</v>
      </c>
      <c r="R50" s="145"/>
      <c r="S50" s="24">
        <v>375707</v>
      </c>
      <c r="T50" s="147"/>
      <c r="U50" s="24">
        <v>0</v>
      </c>
      <c r="V50" s="145"/>
      <c r="W50" s="24">
        <v>0</v>
      </c>
      <c r="X50" s="145"/>
      <c r="Y50" s="24">
        <v>37003</v>
      </c>
      <c r="Z50" s="145"/>
      <c r="AA50" s="24">
        <v>5688</v>
      </c>
      <c r="AB50" s="145"/>
      <c r="AC50" s="147">
        <f t="shared" si="0"/>
        <v>9553430</v>
      </c>
      <c r="AD50" s="150"/>
      <c r="AE50" s="24">
        <v>2076351</v>
      </c>
      <c r="AF50" s="151"/>
      <c r="AG50" s="24">
        <v>3510130</v>
      </c>
      <c r="AH50" s="151"/>
      <c r="AI50" s="24">
        <v>0</v>
      </c>
      <c r="AJ50" s="151"/>
      <c r="AK50" s="32">
        <f>+GenRev!Q50-GenExp!AC50-AE50+GenRev!S50+AG50+AI50-'Gen Fd BS'!O50</f>
        <v>0</v>
      </c>
    </row>
    <row r="51" spans="1:37" s="32" customFormat="1" ht="12.75" customHeight="1">
      <c r="A51" s="23" t="s">
        <v>47</v>
      </c>
      <c r="B51" s="23"/>
      <c r="C51" s="24">
        <v>5005826</v>
      </c>
      <c r="D51" s="145"/>
      <c r="E51" s="24">
        <v>1767621</v>
      </c>
      <c r="F51" s="145"/>
      <c r="G51" s="24">
        <v>3687532</v>
      </c>
      <c r="H51" s="145"/>
      <c r="I51" s="24">
        <v>94096</v>
      </c>
      <c r="J51" s="145"/>
      <c r="K51" s="24">
        <v>159215</v>
      </c>
      <c r="L51" s="145"/>
      <c r="M51" s="24">
        <v>639063</v>
      </c>
      <c r="N51" s="145"/>
      <c r="O51" s="24">
        <v>0</v>
      </c>
      <c r="P51" s="145"/>
      <c r="Q51" s="24">
        <v>0</v>
      </c>
      <c r="R51" s="145"/>
      <c r="S51" s="24">
        <v>0</v>
      </c>
      <c r="T51" s="147"/>
      <c r="U51" s="24">
        <v>116012</v>
      </c>
      <c r="V51" s="145"/>
      <c r="W51" s="24">
        <v>0</v>
      </c>
      <c r="X51" s="145"/>
      <c r="Y51" s="24">
        <v>59211</v>
      </c>
      <c r="Z51" s="145"/>
      <c r="AA51" s="24">
        <v>24925</v>
      </c>
      <c r="AB51" s="145"/>
      <c r="AC51" s="147">
        <f t="shared" si="0"/>
        <v>11553501</v>
      </c>
      <c r="AD51" s="150"/>
      <c r="AE51" s="24">
        <v>771715</v>
      </c>
      <c r="AF51" s="151"/>
      <c r="AG51" s="24">
        <v>2190933</v>
      </c>
      <c r="AH51" s="151"/>
      <c r="AI51" s="24">
        <v>-321</v>
      </c>
      <c r="AJ51" s="151"/>
      <c r="AK51" s="32">
        <f>+GenRev!Q51-GenExp!AC51-AE51+GenRev!S51+AG51+AI51-'Gen Fd BS'!O51</f>
        <v>0</v>
      </c>
    </row>
    <row r="52" spans="1:37" s="32" customFormat="1" ht="12.75" customHeight="1">
      <c r="A52" s="23" t="s">
        <v>48</v>
      </c>
      <c r="B52" s="23"/>
      <c r="C52" s="24">
        <v>13182366</v>
      </c>
      <c r="D52" s="145"/>
      <c r="E52" s="24">
        <v>33319590</v>
      </c>
      <c r="F52" s="145"/>
      <c r="G52" s="24">
        <v>0</v>
      </c>
      <c r="H52" s="145"/>
      <c r="I52" s="24">
        <v>245975</v>
      </c>
      <c r="J52" s="145"/>
      <c r="K52" s="24">
        <v>320153</v>
      </c>
      <c r="L52" s="145"/>
      <c r="M52" s="24">
        <v>1180307</v>
      </c>
      <c r="N52" s="145"/>
      <c r="O52" s="24">
        <v>150000</v>
      </c>
      <c r="P52" s="145"/>
      <c r="Q52" s="24">
        <v>0</v>
      </c>
      <c r="R52" s="145"/>
      <c r="S52" s="24">
        <v>0</v>
      </c>
      <c r="T52" s="147"/>
      <c r="U52" s="24">
        <v>0</v>
      </c>
      <c r="V52" s="145"/>
      <c r="W52" s="24">
        <v>0</v>
      </c>
      <c r="X52" s="145"/>
      <c r="Y52" s="24">
        <v>0</v>
      </c>
      <c r="Z52" s="145"/>
      <c r="AA52" s="24">
        <v>0</v>
      </c>
      <c r="AB52" s="145"/>
      <c r="AC52" s="147">
        <f t="shared" si="0"/>
        <v>48398391</v>
      </c>
      <c r="AD52" s="150"/>
      <c r="AE52" s="24">
        <v>4697849</v>
      </c>
      <c r="AF52" s="151"/>
      <c r="AG52" s="24">
        <v>19292491</v>
      </c>
      <c r="AH52" s="151"/>
      <c r="AI52" s="24">
        <v>0</v>
      </c>
      <c r="AJ52" s="151"/>
      <c r="AK52" s="32">
        <f>+GenRev!Q52-GenExp!AC52-AE52+GenRev!S52+AG52+AI52-'Gen Fd BS'!O52</f>
        <v>0</v>
      </c>
    </row>
    <row r="53" spans="1:37" s="32" customFormat="1" ht="12.75" customHeight="1" hidden="1">
      <c r="A53" s="23" t="s">
        <v>170</v>
      </c>
      <c r="B53" s="23"/>
      <c r="C53" s="24">
        <v>0</v>
      </c>
      <c r="D53" s="145"/>
      <c r="E53" s="24">
        <v>0</v>
      </c>
      <c r="F53" s="145"/>
      <c r="G53" s="24">
        <v>0</v>
      </c>
      <c r="H53" s="145"/>
      <c r="I53" s="24">
        <v>0</v>
      </c>
      <c r="J53" s="145"/>
      <c r="K53" s="24">
        <v>0</v>
      </c>
      <c r="L53" s="145"/>
      <c r="M53" s="24">
        <v>0</v>
      </c>
      <c r="N53" s="145"/>
      <c r="O53" s="24">
        <v>0</v>
      </c>
      <c r="P53" s="145"/>
      <c r="Q53" s="24">
        <v>0</v>
      </c>
      <c r="R53" s="145"/>
      <c r="S53" s="24">
        <v>0</v>
      </c>
      <c r="T53" s="147"/>
      <c r="U53" s="24">
        <v>0</v>
      </c>
      <c r="V53" s="145"/>
      <c r="W53" s="24">
        <v>0</v>
      </c>
      <c r="X53" s="145"/>
      <c r="Y53" s="24">
        <v>0</v>
      </c>
      <c r="Z53" s="145"/>
      <c r="AA53" s="24">
        <v>0</v>
      </c>
      <c r="AB53" s="145"/>
      <c r="AC53" s="147">
        <f t="shared" si="0"/>
        <v>0</v>
      </c>
      <c r="AD53" s="150"/>
      <c r="AE53" s="24">
        <v>0</v>
      </c>
      <c r="AF53" s="151"/>
      <c r="AG53" s="24">
        <v>0</v>
      </c>
      <c r="AH53" s="151"/>
      <c r="AI53" s="24">
        <v>0</v>
      </c>
      <c r="AJ53" s="151"/>
      <c r="AK53" s="32">
        <f>+GenRev!Q53-GenExp!AC53-AE53+GenRev!S53+AG53+AI53-'Gen Fd BS'!O53</f>
        <v>0</v>
      </c>
    </row>
    <row r="54" spans="1:37" s="32" customFormat="1" ht="12.75" customHeight="1">
      <c r="A54" s="23" t="s">
        <v>49</v>
      </c>
      <c r="B54" s="23"/>
      <c r="C54" s="24">
        <v>17427091</v>
      </c>
      <c r="D54" s="145"/>
      <c r="E54" s="24">
        <v>0</v>
      </c>
      <c r="F54" s="145"/>
      <c r="G54" s="24">
        <v>18805229</v>
      </c>
      <c r="H54" s="145"/>
      <c r="I54" s="24">
        <v>0</v>
      </c>
      <c r="J54" s="145"/>
      <c r="K54" s="24">
        <v>445794</v>
      </c>
      <c r="L54" s="145"/>
      <c r="M54" s="24">
        <v>2696806</v>
      </c>
      <c r="N54" s="145"/>
      <c r="O54" s="24">
        <v>0</v>
      </c>
      <c r="P54" s="145"/>
      <c r="Q54" s="24">
        <v>628620</v>
      </c>
      <c r="R54" s="145"/>
      <c r="S54" s="24">
        <v>0</v>
      </c>
      <c r="T54" s="147"/>
      <c r="U54" s="24">
        <v>71305</v>
      </c>
      <c r="V54" s="145"/>
      <c r="W54" s="24">
        <v>0</v>
      </c>
      <c r="X54" s="145"/>
      <c r="Y54" s="24">
        <v>0</v>
      </c>
      <c r="Z54" s="145"/>
      <c r="AA54" s="24">
        <v>0</v>
      </c>
      <c r="AB54" s="145"/>
      <c r="AC54" s="147">
        <f t="shared" si="0"/>
        <v>40074845</v>
      </c>
      <c r="AD54" s="150"/>
      <c r="AE54" s="24">
        <v>2017034</v>
      </c>
      <c r="AF54" s="151"/>
      <c r="AG54" s="24">
        <v>8062731</v>
      </c>
      <c r="AH54" s="151"/>
      <c r="AI54" s="24">
        <v>-24182</v>
      </c>
      <c r="AJ54" s="151"/>
      <c r="AK54" s="32">
        <f>+GenRev!Q54-GenExp!AC54-AE54+GenRev!S54+AG54+AI54-'Gen Fd BS'!O54</f>
        <v>0</v>
      </c>
    </row>
    <row r="55" spans="1:37" s="32" customFormat="1" ht="12.75" customHeight="1">
      <c r="A55" s="23" t="s">
        <v>50</v>
      </c>
      <c r="B55" s="23"/>
      <c r="C55" s="24">
        <v>1541371</v>
      </c>
      <c r="D55" s="145"/>
      <c r="E55" s="24">
        <v>3155184</v>
      </c>
      <c r="F55" s="145"/>
      <c r="G55" s="24">
        <v>4814387</v>
      </c>
      <c r="H55" s="145"/>
      <c r="I55" s="24">
        <v>184107</v>
      </c>
      <c r="J55" s="145"/>
      <c r="K55" s="24">
        <v>0</v>
      </c>
      <c r="L55" s="145"/>
      <c r="M55" s="24">
        <v>816047</v>
      </c>
      <c r="N55" s="145"/>
      <c r="O55" s="24">
        <v>0</v>
      </c>
      <c r="P55" s="145"/>
      <c r="Q55" s="24">
        <v>6600</v>
      </c>
      <c r="R55" s="145"/>
      <c r="S55" s="24">
        <v>0</v>
      </c>
      <c r="T55" s="147"/>
      <c r="U55" s="24">
        <v>0</v>
      </c>
      <c r="V55" s="145"/>
      <c r="W55" s="24">
        <v>0</v>
      </c>
      <c r="X55" s="145"/>
      <c r="Y55" s="24">
        <v>0</v>
      </c>
      <c r="Z55" s="145"/>
      <c r="AA55" s="24">
        <v>0</v>
      </c>
      <c r="AB55" s="145"/>
      <c r="AC55" s="147">
        <f t="shared" si="0"/>
        <v>10517696</v>
      </c>
      <c r="AD55" s="150"/>
      <c r="AE55" s="24">
        <v>3119744</v>
      </c>
      <c r="AF55" s="151"/>
      <c r="AG55" s="24">
        <v>1582506</v>
      </c>
      <c r="AH55" s="151"/>
      <c r="AI55" s="24">
        <v>1435</v>
      </c>
      <c r="AJ55" s="151"/>
      <c r="AK55" s="32">
        <f>+GenRev!Q55-GenExp!AC55-AE55+GenRev!S55+AG55+AI55-'Gen Fd BS'!O55</f>
        <v>0</v>
      </c>
    </row>
    <row r="56" spans="1:37" s="32" customFormat="1" ht="12.75" customHeight="1">
      <c r="A56" s="23" t="s">
        <v>246</v>
      </c>
      <c r="B56" s="23"/>
      <c r="C56" s="24">
        <v>19930342</v>
      </c>
      <c r="D56" s="145"/>
      <c r="E56" s="24">
        <v>14076558</v>
      </c>
      <c r="F56" s="145"/>
      <c r="G56" s="24">
        <v>6315373</v>
      </c>
      <c r="H56" s="145"/>
      <c r="I56" s="24">
        <v>59261</v>
      </c>
      <c r="J56" s="145"/>
      <c r="K56" s="24">
        <v>2954</v>
      </c>
      <c r="L56" s="145"/>
      <c r="M56" s="24">
        <v>1977585</v>
      </c>
      <c r="N56" s="145"/>
      <c r="O56" s="24">
        <v>0</v>
      </c>
      <c r="P56" s="145"/>
      <c r="Q56" s="24">
        <v>0</v>
      </c>
      <c r="R56" s="145"/>
      <c r="S56" s="24">
        <v>0</v>
      </c>
      <c r="T56" s="147"/>
      <c r="U56" s="24">
        <v>92993</v>
      </c>
      <c r="V56" s="145"/>
      <c r="W56" s="24">
        <v>264872</v>
      </c>
      <c r="X56" s="145"/>
      <c r="Y56" s="24">
        <v>0</v>
      </c>
      <c r="Z56" s="145"/>
      <c r="AA56" s="24">
        <v>0</v>
      </c>
      <c r="AB56" s="145"/>
      <c r="AC56" s="147">
        <f t="shared" si="0"/>
        <v>42719938</v>
      </c>
      <c r="AD56" s="150"/>
      <c r="AE56" s="24">
        <v>523760</v>
      </c>
      <c r="AF56" s="151"/>
      <c r="AG56" s="24">
        <v>19801919</v>
      </c>
      <c r="AH56" s="151"/>
      <c r="AI56" s="24">
        <v>26633</v>
      </c>
      <c r="AJ56" s="151"/>
      <c r="AK56" s="32">
        <f>+GenRev!Q56-GenExp!AC56-AE56+GenRev!S56+AG56+AI56-'Gen Fd BS'!O56</f>
        <v>0</v>
      </c>
    </row>
    <row r="57" spans="1:37" s="32" customFormat="1" ht="12.75" customHeight="1">
      <c r="A57" s="23" t="s">
        <v>183</v>
      </c>
      <c r="B57" s="23"/>
      <c r="C57" s="24">
        <v>24390120</v>
      </c>
      <c r="D57" s="145"/>
      <c r="E57" s="24">
        <v>41802306</v>
      </c>
      <c r="F57" s="145"/>
      <c r="G57" s="24">
        <v>38492196</v>
      </c>
      <c r="H57" s="145"/>
      <c r="I57" s="24">
        <v>242538</v>
      </c>
      <c r="J57" s="145"/>
      <c r="K57" s="24">
        <v>916303</v>
      </c>
      <c r="L57" s="145"/>
      <c r="M57" s="24">
        <v>1588005</v>
      </c>
      <c r="N57" s="145"/>
      <c r="O57" s="24">
        <v>0</v>
      </c>
      <c r="P57" s="145"/>
      <c r="Q57" s="24">
        <v>300295</v>
      </c>
      <c r="R57" s="145"/>
      <c r="S57" s="24">
        <v>522205</v>
      </c>
      <c r="T57" s="147"/>
      <c r="U57" s="24">
        <v>0</v>
      </c>
      <c r="V57" s="145"/>
      <c r="W57" s="24">
        <v>0</v>
      </c>
      <c r="X57" s="145"/>
      <c r="Y57" s="24">
        <v>2470</v>
      </c>
      <c r="Z57" s="145"/>
      <c r="AA57" s="24">
        <v>629</v>
      </c>
      <c r="AB57" s="145"/>
      <c r="AC57" s="147">
        <f t="shared" si="0"/>
        <v>108257067</v>
      </c>
      <c r="AD57" s="150"/>
      <c r="AE57" s="24">
        <v>20579771</v>
      </c>
      <c r="AF57" s="151"/>
      <c r="AG57" s="24">
        <v>29040771</v>
      </c>
      <c r="AH57" s="151"/>
      <c r="AI57" s="24">
        <v>0</v>
      </c>
      <c r="AJ57" s="151"/>
      <c r="AK57" s="32">
        <f>+GenRev!Q57-GenExp!AC57-AE57+GenRev!S57+AG57+AI57-'Gen Fd BS'!O57</f>
        <v>0</v>
      </c>
    </row>
    <row r="58" spans="1:37" s="32" customFormat="1" ht="12.75" customHeight="1" hidden="1">
      <c r="A58" s="23" t="s">
        <v>52</v>
      </c>
      <c r="B58" s="23"/>
      <c r="C58" s="24">
        <v>0</v>
      </c>
      <c r="D58" s="145"/>
      <c r="E58" s="24">
        <v>0</v>
      </c>
      <c r="F58" s="145"/>
      <c r="G58" s="24">
        <v>0</v>
      </c>
      <c r="H58" s="145"/>
      <c r="I58" s="24">
        <v>0</v>
      </c>
      <c r="J58" s="145"/>
      <c r="K58" s="24">
        <v>0</v>
      </c>
      <c r="L58" s="145"/>
      <c r="M58" s="24">
        <v>0</v>
      </c>
      <c r="N58" s="145"/>
      <c r="O58" s="24">
        <v>0</v>
      </c>
      <c r="P58" s="145"/>
      <c r="Q58" s="24">
        <v>0</v>
      </c>
      <c r="R58" s="145"/>
      <c r="S58" s="24">
        <v>0</v>
      </c>
      <c r="T58" s="147"/>
      <c r="U58" s="24">
        <v>0</v>
      </c>
      <c r="V58" s="145"/>
      <c r="W58" s="24">
        <v>0</v>
      </c>
      <c r="X58" s="145"/>
      <c r="Y58" s="24">
        <v>0</v>
      </c>
      <c r="Z58" s="145"/>
      <c r="AA58" s="24">
        <v>0</v>
      </c>
      <c r="AB58" s="145"/>
      <c r="AC58" s="147">
        <f t="shared" si="0"/>
        <v>0</v>
      </c>
      <c r="AD58" s="150"/>
      <c r="AE58" s="24">
        <v>0</v>
      </c>
      <c r="AF58" s="151"/>
      <c r="AG58" s="24">
        <v>0</v>
      </c>
      <c r="AH58" s="151"/>
      <c r="AI58" s="24">
        <v>0</v>
      </c>
      <c r="AJ58" s="151"/>
      <c r="AK58" s="32">
        <f>+GenRev!Q58-GenExp!AC58-AE58+GenRev!S58+AG58+AI58-'Gen Fd BS'!O58</f>
        <v>0</v>
      </c>
    </row>
    <row r="59" spans="1:37" s="32" customFormat="1" ht="12.75" customHeight="1">
      <c r="A59" s="23" t="s">
        <v>53</v>
      </c>
      <c r="B59" s="23"/>
      <c r="C59" s="24">
        <v>12748781</v>
      </c>
      <c r="D59" s="145"/>
      <c r="E59" s="24">
        <v>14470576</v>
      </c>
      <c r="F59" s="145"/>
      <c r="G59" s="24">
        <v>19785388</v>
      </c>
      <c r="H59" s="145"/>
      <c r="I59" s="24">
        <v>0</v>
      </c>
      <c r="J59" s="145"/>
      <c r="K59" s="24">
        <v>0</v>
      </c>
      <c r="L59" s="145"/>
      <c r="M59" s="24">
        <v>1177477</v>
      </c>
      <c r="N59" s="145"/>
      <c r="O59" s="24">
        <v>0</v>
      </c>
      <c r="P59" s="145"/>
      <c r="Q59" s="24">
        <v>0</v>
      </c>
      <c r="R59" s="145"/>
      <c r="S59" s="24">
        <v>0</v>
      </c>
      <c r="T59" s="147"/>
      <c r="U59" s="24">
        <v>0</v>
      </c>
      <c r="V59" s="145"/>
      <c r="W59" s="24">
        <v>0</v>
      </c>
      <c r="X59" s="145"/>
      <c r="Y59" s="24">
        <v>0</v>
      </c>
      <c r="Z59" s="145"/>
      <c r="AA59" s="24">
        <v>95</v>
      </c>
      <c r="AB59" s="145"/>
      <c r="AC59" s="147">
        <f t="shared" si="0"/>
        <v>48182317</v>
      </c>
      <c r="AD59" s="150"/>
      <c r="AE59" s="24">
        <v>4092652</v>
      </c>
      <c r="AF59" s="151"/>
      <c r="AG59" s="24">
        <v>8787818</v>
      </c>
      <c r="AH59" s="151"/>
      <c r="AI59" s="24">
        <v>0</v>
      </c>
      <c r="AJ59" s="151"/>
      <c r="AK59" s="32">
        <f>+GenRev!Q59-GenExp!AC59-AE59+GenRev!S59+AG59+AI59-'Gen Fd BS'!O59</f>
        <v>0</v>
      </c>
    </row>
    <row r="60" spans="1:37" s="32" customFormat="1" ht="12.75" customHeight="1">
      <c r="A60" s="23" t="s">
        <v>54</v>
      </c>
      <c r="B60" s="23"/>
      <c r="C60" s="24">
        <v>5012674</v>
      </c>
      <c r="D60" s="145"/>
      <c r="E60" s="24">
        <v>1916822</v>
      </c>
      <c r="F60" s="145"/>
      <c r="G60" s="24">
        <f>6585821+3600</f>
        <v>6589421</v>
      </c>
      <c r="H60" s="145"/>
      <c r="I60" s="24">
        <v>15122</v>
      </c>
      <c r="J60" s="145"/>
      <c r="K60" s="24">
        <f>225793+11530</f>
        <v>237323</v>
      </c>
      <c r="L60" s="145"/>
      <c r="M60" s="24">
        <v>298764</v>
      </c>
      <c r="N60" s="145"/>
      <c r="O60" s="24">
        <f>156000+2000</f>
        <v>158000</v>
      </c>
      <c r="P60" s="145"/>
      <c r="Q60" s="24">
        <v>0</v>
      </c>
      <c r="R60" s="145"/>
      <c r="S60" s="24">
        <v>0</v>
      </c>
      <c r="T60" s="147"/>
      <c r="U60" s="24">
        <v>0</v>
      </c>
      <c r="V60" s="145"/>
      <c r="W60" s="24">
        <v>137397</v>
      </c>
      <c r="X60" s="145"/>
      <c r="Y60" s="24">
        <v>0</v>
      </c>
      <c r="Z60" s="145"/>
      <c r="AA60" s="24">
        <v>0</v>
      </c>
      <c r="AB60" s="145"/>
      <c r="AC60" s="147">
        <f t="shared" si="0"/>
        <v>14365523</v>
      </c>
      <c r="AD60" s="150"/>
      <c r="AE60" s="24">
        <v>591053</v>
      </c>
      <c r="AF60" s="151"/>
      <c r="AG60" s="24">
        <v>3619099</v>
      </c>
      <c r="AH60" s="151"/>
      <c r="AI60" s="24">
        <v>0</v>
      </c>
      <c r="AJ60" s="151"/>
      <c r="AK60" s="32">
        <f>+GenRev!Q60-GenExp!AC60-AE60+GenRev!S60+AG60+AI60-'Gen Fd BS'!O60</f>
        <v>0</v>
      </c>
    </row>
    <row r="61" spans="1:37" s="32" customFormat="1" ht="12.75" customHeight="1">
      <c r="A61" s="23" t="s">
        <v>55</v>
      </c>
      <c r="B61" s="23"/>
      <c r="C61" s="24">
        <v>9029745</v>
      </c>
      <c r="D61" s="145"/>
      <c r="E61" s="24">
        <v>7784315</v>
      </c>
      <c r="F61" s="145"/>
      <c r="G61" s="24">
        <v>15836224</v>
      </c>
      <c r="H61" s="145"/>
      <c r="I61" s="24">
        <v>469087</v>
      </c>
      <c r="J61" s="145"/>
      <c r="K61" s="24">
        <v>107557</v>
      </c>
      <c r="L61" s="145"/>
      <c r="M61" s="24">
        <v>1867806</v>
      </c>
      <c r="N61" s="145"/>
      <c r="O61" s="24">
        <v>78625</v>
      </c>
      <c r="P61" s="145"/>
      <c r="Q61" s="24">
        <v>0</v>
      </c>
      <c r="R61" s="145"/>
      <c r="S61" s="24">
        <v>0</v>
      </c>
      <c r="T61" s="147"/>
      <c r="U61" s="24">
        <v>0</v>
      </c>
      <c r="V61" s="145"/>
      <c r="W61" s="24">
        <v>347660</v>
      </c>
      <c r="X61" s="145"/>
      <c r="Y61" s="24">
        <v>0</v>
      </c>
      <c r="Z61" s="145"/>
      <c r="AA61" s="24">
        <v>0</v>
      </c>
      <c r="AB61" s="145"/>
      <c r="AC61" s="147">
        <f t="shared" si="0"/>
        <v>35521019</v>
      </c>
      <c r="AD61" s="150"/>
      <c r="AE61" s="24">
        <v>2134524</v>
      </c>
      <c r="AF61" s="151"/>
      <c r="AG61" s="24">
        <v>7175628</v>
      </c>
      <c r="AH61" s="151"/>
      <c r="AI61" s="24">
        <v>0</v>
      </c>
      <c r="AJ61" s="151"/>
      <c r="AK61" s="32">
        <f>+GenRev!Q61-GenExp!AC61-AE61+GenRev!S61+AG61+AI61-'Gen Fd BS'!O61</f>
        <v>0</v>
      </c>
    </row>
    <row r="62" spans="1:37" s="32" customFormat="1" ht="12.75" customHeight="1" hidden="1">
      <c r="A62" s="23" t="s">
        <v>171</v>
      </c>
      <c r="B62" s="23"/>
      <c r="C62" s="24">
        <v>0</v>
      </c>
      <c r="D62" s="145"/>
      <c r="E62" s="24">
        <v>0</v>
      </c>
      <c r="F62" s="145"/>
      <c r="G62" s="24">
        <v>0</v>
      </c>
      <c r="H62" s="145"/>
      <c r="I62" s="24">
        <v>0</v>
      </c>
      <c r="J62" s="145"/>
      <c r="K62" s="24">
        <v>0</v>
      </c>
      <c r="L62" s="145"/>
      <c r="M62" s="24">
        <v>0</v>
      </c>
      <c r="N62" s="145"/>
      <c r="O62" s="24">
        <v>0</v>
      </c>
      <c r="P62" s="145"/>
      <c r="Q62" s="24">
        <v>0</v>
      </c>
      <c r="R62" s="145"/>
      <c r="S62" s="24">
        <v>0</v>
      </c>
      <c r="T62" s="147"/>
      <c r="U62" s="24">
        <v>0</v>
      </c>
      <c r="V62" s="145"/>
      <c r="W62" s="24">
        <v>0</v>
      </c>
      <c r="X62" s="145"/>
      <c r="Y62" s="24">
        <v>0</v>
      </c>
      <c r="Z62" s="145"/>
      <c r="AA62" s="24">
        <v>0</v>
      </c>
      <c r="AB62" s="145"/>
      <c r="AC62" s="147">
        <f t="shared" si="0"/>
        <v>0</v>
      </c>
      <c r="AD62" s="150"/>
      <c r="AE62" s="24">
        <v>0</v>
      </c>
      <c r="AF62" s="151"/>
      <c r="AG62" s="24">
        <v>0</v>
      </c>
      <c r="AH62" s="151"/>
      <c r="AI62" s="24">
        <v>0</v>
      </c>
      <c r="AJ62" s="151"/>
      <c r="AK62" s="32">
        <f>+GenRev!Q62-GenExp!AC62-AE62+GenRev!S62+AG62+AI62-'Gen Fd BS'!O62</f>
        <v>0</v>
      </c>
    </row>
    <row r="63" spans="1:37" s="32" customFormat="1" ht="12.75" customHeight="1" hidden="1">
      <c r="A63" s="23" t="s">
        <v>56</v>
      </c>
      <c r="B63" s="23"/>
      <c r="C63" s="24">
        <v>0</v>
      </c>
      <c r="D63" s="145"/>
      <c r="E63" s="24">
        <v>0</v>
      </c>
      <c r="F63" s="145"/>
      <c r="G63" s="24">
        <v>0</v>
      </c>
      <c r="H63" s="145"/>
      <c r="I63" s="24">
        <v>0</v>
      </c>
      <c r="J63" s="145"/>
      <c r="K63" s="24">
        <v>0</v>
      </c>
      <c r="L63" s="145"/>
      <c r="M63" s="24">
        <v>0</v>
      </c>
      <c r="N63" s="145"/>
      <c r="O63" s="24">
        <v>0</v>
      </c>
      <c r="P63" s="145"/>
      <c r="Q63" s="24">
        <v>0</v>
      </c>
      <c r="R63" s="145"/>
      <c r="S63" s="24">
        <v>0</v>
      </c>
      <c r="T63" s="147"/>
      <c r="U63" s="24">
        <v>0</v>
      </c>
      <c r="V63" s="145"/>
      <c r="W63" s="24">
        <v>0</v>
      </c>
      <c r="X63" s="145"/>
      <c r="Y63" s="24">
        <v>0</v>
      </c>
      <c r="Z63" s="145"/>
      <c r="AA63" s="24">
        <v>0</v>
      </c>
      <c r="AB63" s="145"/>
      <c r="AC63" s="147">
        <f t="shared" si="0"/>
        <v>0</v>
      </c>
      <c r="AD63" s="150"/>
      <c r="AE63" s="24">
        <v>0</v>
      </c>
      <c r="AF63" s="151"/>
      <c r="AG63" s="24">
        <v>0</v>
      </c>
      <c r="AH63" s="151"/>
      <c r="AI63" s="24">
        <v>0</v>
      </c>
      <c r="AJ63" s="151"/>
      <c r="AK63" s="32">
        <f>+GenRev!Q63-GenExp!AC63-AE63+GenRev!S63+AG63+AI63-'Gen Fd BS'!O63</f>
        <v>0</v>
      </c>
    </row>
    <row r="64" spans="1:37" s="32" customFormat="1" ht="12.75" customHeight="1">
      <c r="A64" s="23" t="s">
        <v>57</v>
      </c>
      <c r="B64" s="23"/>
      <c r="C64" s="24">
        <v>10681105</v>
      </c>
      <c r="D64" s="145"/>
      <c r="E64" s="24">
        <v>0</v>
      </c>
      <c r="F64" s="145"/>
      <c r="G64" s="24">
        <v>8760678</v>
      </c>
      <c r="H64" s="145"/>
      <c r="I64" s="24">
        <v>235246</v>
      </c>
      <c r="J64" s="145"/>
      <c r="K64" s="24">
        <v>162599</v>
      </c>
      <c r="L64" s="145"/>
      <c r="M64" s="24">
        <v>2229729</v>
      </c>
      <c r="N64" s="145"/>
      <c r="O64" s="24">
        <v>0</v>
      </c>
      <c r="P64" s="145"/>
      <c r="Q64" s="24">
        <v>415757</v>
      </c>
      <c r="R64" s="145"/>
      <c r="S64" s="24">
        <v>0</v>
      </c>
      <c r="T64" s="147"/>
      <c r="U64" s="24">
        <v>0</v>
      </c>
      <c r="V64" s="145"/>
      <c r="W64" s="24">
        <v>0</v>
      </c>
      <c r="X64" s="145"/>
      <c r="Y64" s="24">
        <v>16636</v>
      </c>
      <c r="Z64" s="145"/>
      <c r="AA64" s="24">
        <v>212</v>
      </c>
      <c r="AB64" s="145"/>
      <c r="AC64" s="147">
        <f t="shared" si="0"/>
        <v>22501962</v>
      </c>
      <c r="AD64" s="150"/>
      <c r="AE64" s="24">
        <v>336379</v>
      </c>
      <c r="AF64" s="151"/>
      <c r="AG64" s="24">
        <v>11405892</v>
      </c>
      <c r="AH64" s="151"/>
      <c r="AI64" s="24">
        <v>0</v>
      </c>
      <c r="AJ64" s="151"/>
      <c r="AK64" s="32">
        <f>+GenRev!Q64-GenExp!AC64-AE64+GenRev!S64+AG64+AI64-'Gen Fd BS'!O64</f>
        <v>0</v>
      </c>
    </row>
    <row r="65" spans="1:37" s="32" customFormat="1" ht="12.75" customHeight="1">
      <c r="A65" s="23" t="s">
        <v>58</v>
      </c>
      <c r="B65" s="23"/>
      <c r="C65" s="24">
        <v>1333716</v>
      </c>
      <c r="D65" s="145"/>
      <c r="E65" s="24">
        <v>581813</v>
      </c>
      <c r="F65" s="145"/>
      <c r="G65" s="24">
        <v>1313197</v>
      </c>
      <c r="H65" s="145"/>
      <c r="I65" s="24">
        <v>18196</v>
      </c>
      <c r="J65" s="145"/>
      <c r="K65" s="24">
        <v>536327</v>
      </c>
      <c r="L65" s="145"/>
      <c r="M65" s="24">
        <v>164543</v>
      </c>
      <c r="N65" s="145"/>
      <c r="O65" s="24">
        <v>0</v>
      </c>
      <c r="P65" s="145"/>
      <c r="Q65" s="24">
        <v>0</v>
      </c>
      <c r="R65" s="145"/>
      <c r="S65" s="24">
        <v>0</v>
      </c>
      <c r="T65" s="147"/>
      <c r="U65" s="24">
        <v>0</v>
      </c>
      <c r="V65" s="145"/>
      <c r="W65" s="24">
        <v>0</v>
      </c>
      <c r="X65" s="145"/>
      <c r="Y65" s="24">
        <v>0</v>
      </c>
      <c r="Z65" s="145"/>
      <c r="AA65" s="24">
        <v>3297</v>
      </c>
      <c r="AB65" s="145"/>
      <c r="AC65" s="147">
        <f t="shared" si="0"/>
        <v>3951089</v>
      </c>
      <c r="AD65" s="150"/>
      <c r="AE65" s="24">
        <v>148471</v>
      </c>
      <c r="AF65" s="151"/>
      <c r="AG65" s="24">
        <v>479536</v>
      </c>
      <c r="AH65" s="151"/>
      <c r="AI65" s="24">
        <v>0</v>
      </c>
      <c r="AJ65" s="151"/>
      <c r="AK65" s="32">
        <f>+GenRev!Q65-GenExp!AC65-AE65+GenRev!S65+AG65+AI65-'Gen Fd BS'!O65</f>
        <v>0</v>
      </c>
    </row>
    <row r="66" spans="1:37" s="32" customFormat="1" ht="12.75" customHeight="1">
      <c r="A66" s="23" t="s">
        <v>59</v>
      </c>
      <c r="B66" s="23"/>
      <c r="C66" s="24">
        <v>20697767</v>
      </c>
      <c r="D66" s="30"/>
      <c r="E66" s="24">
        <v>92497678</v>
      </c>
      <c r="F66" s="30"/>
      <c r="G66" s="24">
        <v>0</v>
      </c>
      <c r="H66" s="30"/>
      <c r="I66" s="24">
        <v>467470</v>
      </c>
      <c r="J66" s="30"/>
      <c r="K66" s="24">
        <v>0</v>
      </c>
      <c r="L66" s="30"/>
      <c r="M66" s="24">
        <v>2289269</v>
      </c>
      <c r="N66" s="30"/>
      <c r="O66" s="24">
        <v>1293785</v>
      </c>
      <c r="P66" s="30"/>
      <c r="Q66" s="24">
        <v>0</v>
      </c>
      <c r="R66" s="30"/>
      <c r="S66" s="24">
        <v>0</v>
      </c>
      <c r="T66" s="40"/>
      <c r="U66" s="24">
        <v>0</v>
      </c>
      <c r="V66" s="30"/>
      <c r="W66" s="24">
        <f>53300+1171256+223277+20000</f>
        <v>1467833</v>
      </c>
      <c r="X66" s="30"/>
      <c r="Y66" s="24">
        <v>96271</v>
      </c>
      <c r="Z66" s="30"/>
      <c r="AA66" s="24">
        <v>8864</v>
      </c>
      <c r="AB66" s="30"/>
      <c r="AC66" s="40">
        <f t="shared" si="0"/>
        <v>118818937</v>
      </c>
      <c r="AD66" s="41"/>
      <c r="AE66" s="24">
        <v>17773707</v>
      </c>
      <c r="AG66" s="24">
        <v>49608291</v>
      </c>
      <c r="AI66" s="24">
        <v>0</v>
      </c>
      <c r="AK66" s="32">
        <f>+GenRev!Q66-GenExp!AC66-AE66+GenRev!S66+AG66+AI66-'Gen Fd BS'!O66</f>
        <v>0</v>
      </c>
    </row>
    <row r="67" spans="1:37" s="32" customFormat="1" ht="12.75" customHeight="1" hidden="1">
      <c r="A67" s="23" t="s">
        <v>60</v>
      </c>
      <c r="B67" s="23"/>
      <c r="C67" s="24">
        <v>0</v>
      </c>
      <c r="D67" s="30"/>
      <c r="E67" s="24">
        <v>0</v>
      </c>
      <c r="F67" s="30"/>
      <c r="G67" s="24">
        <v>0</v>
      </c>
      <c r="H67" s="30"/>
      <c r="I67" s="24">
        <v>0</v>
      </c>
      <c r="J67" s="30"/>
      <c r="K67" s="24">
        <v>0</v>
      </c>
      <c r="L67" s="30"/>
      <c r="M67" s="24">
        <v>0</v>
      </c>
      <c r="N67" s="30"/>
      <c r="O67" s="24">
        <v>0</v>
      </c>
      <c r="P67" s="30"/>
      <c r="Q67" s="24">
        <v>0</v>
      </c>
      <c r="R67" s="30"/>
      <c r="S67" s="24">
        <v>0</v>
      </c>
      <c r="T67" s="40"/>
      <c r="U67" s="24">
        <v>0</v>
      </c>
      <c r="V67" s="30"/>
      <c r="W67" s="24">
        <v>0</v>
      </c>
      <c r="X67" s="30"/>
      <c r="Y67" s="24">
        <v>0</v>
      </c>
      <c r="Z67" s="30"/>
      <c r="AA67" s="24">
        <v>0</v>
      </c>
      <c r="AB67" s="30"/>
      <c r="AC67" s="40">
        <f t="shared" si="0"/>
        <v>0</v>
      </c>
      <c r="AD67" s="41"/>
      <c r="AE67" s="24">
        <v>0</v>
      </c>
      <c r="AG67" s="24">
        <v>0</v>
      </c>
      <c r="AI67" s="24">
        <v>0</v>
      </c>
      <c r="AK67" s="32">
        <f>+GenRev!Q67-GenExp!AC67-AE67+GenRev!S67+AG67+AI67-'Gen Fd BS'!O67</f>
        <v>0</v>
      </c>
    </row>
    <row r="68" spans="1:37" s="32" customFormat="1" ht="12.75" customHeight="1">
      <c r="A68" s="23" t="s">
        <v>97</v>
      </c>
      <c r="B68" s="23"/>
      <c r="C68" s="24">
        <v>2925712</v>
      </c>
      <c r="D68" s="30"/>
      <c r="E68" s="24">
        <v>930045</v>
      </c>
      <c r="F68" s="30"/>
      <c r="G68" s="24">
        <v>1698421</v>
      </c>
      <c r="H68" s="30"/>
      <c r="I68" s="24">
        <v>0</v>
      </c>
      <c r="J68" s="30"/>
      <c r="K68" s="24">
        <v>69858</v>
      </c>
      <c r="L68" s="30"/>
      <c r="M68" s="24">
        <v>435517</v>
      </c>
      <c r="N68" s="30"/>
      <c r="O68" s="24">
        <v>0</v>
      </c>
      <c r="P68" s="30"/>
      <c r="Q68" s="24">
        <v>0</v>
      </c>
      <c r="R68" s="30"/>
      <c r="S68" s="24">
        <v>84780</v>
      </c>
      <c r="T68" s="40"/>
      <c r="U68" s="24">
        <v>0</v>
      </c>
      <c r="V68" s="30"/>
      <c r="W68" s="24">
        <v>472639</v>
      </c>
      <c r="X68" s="30"/>
      <c r="Y68" s="24">
        <v>39557</v>
      </c>
      <c r="Z68" s="30"/>
      <c r="AA68" s="24">
        <v>2500</v>
      </c>
      <c r="AB68" s="30"/>
      <c r="AC68" s="40">
        <f t="shared" si="0"/>
        <v>6659029</v>
      </c>
      <c r="AD68" s="41"/>
      <c r="AE68" s="24">
        <v>0</v>
      </c>
      <c r="AG68" s="24">
        <v>1100003</v>
      </c>
      <c r="AI68" s="24">
        <v>0</v>
      </c>
      <c r="AK68" s="32">
        <f>+GenRev!Q68-GenExp!AC68-AE68+GenRev!S68+AG68+AI68-'Gen Fd BS'!O68</f>
        <v>0</v>
      </c>
    </row>
    <row r="69" spans="1:37" s="32" customFormat="1" ht="12.75" customHeight="1">
      <c r="A69" s="23" t="s">
        <v>61</v>
      </c>
      <c r="B69" s="23"/>
      <c r="C69" s="24">
        <v>7886264</v>
      </c>
      <c r="D69" s="30"/>
      <c r="E69" s="24">
        <v>6075393</v>
      </c>
      <c r="F69" s="30"/>
      <c r="G69" s="24">
        <v>8703339</v>
      </c>
      <c r="H69" s="30"/>
      <c r="I69" s="24">
        <v>196131</v>
      </c>
      <c r="J69" s="30"/>
      <c r="K69" s="24">
        <v>465671</v>
      </c>
      <c r="L69" s="30"/>
      <c r="M69" s="24">
        <v>488197</v>
      </c>
      <c r="N69" s="30"/>
      <c r="O69" s="24">
        <v>0</v>
      </c>
      <c r="P69" s="30"/>
      <c r="Q69" s="24">
        <v>0</v>
      </c>
      <c r="R69" s="30"/>
      <c r="S69" s="24">
        <v>0</v>
      </c>
      <c r="T69" s="40"/>
      <c r="U69" s="24">
        <v>108250</v>
      </c>
      <c r="V69" s="30"/>
      <c r="W69" s="24">
        <v>477300</v>
      </c>
      <c r="X69" s="30"/>
      <c r="Y69" s="24">
        <v>78431</v>
      </c>
      <c r="Z69" s="30"/>
      <c r="AA69" s="24">
        <v>6236</v>
      </c>
      <c r="AB69" s="30"/>
      <c r="AC69" s="40">
        <f t="shared" si="0"/>
        <v>24485212</v>
      </c>
      <c r="AD69" s="41"/>
      <c r="AE69" s="24">
        <v>2560937</v>
      </c>
      <c r="AG69" s="24">
        <v>5681037</v>
      </c>
      <c r="AI69" s="24">
        <v>0</v>
      </c>
      <c r="AK69" s="32">
        <f>+GenRev!Q69-GenExp!AC69-AE69+GenRev!S69+AG69+AI69-'Gen Fd BS'!O69</f>
        <v>0</v>
      </c>
    </row>
    <row r="70" spans="1:37" s="32" customFormat="1" ht="12.75" customHeight="1">
      <c r="A70" s="23" t="s">
        <v>62</v>
      </c>
      <c r="B70" s="23"/>
      <c r="C70" s="24">
        <v>1492710</v>
      </c>
      <c r="D70" s="30"/>
      <c r="E70" s="24">
        <v>421998</v>
      </c>
      <c r="F70" s="30"/>
      <c r="G70" s="24">
        <v>959833</v>
      </c>
      <c r="H70" s="30"/>
      <c r="I70" s="24">
        <v>0</v>
      </c>
      <c r="J70" s="30"/>
      <c r="K70" s="24">
        <v>13356</v>
      </c>
      <c r="L70" s="30"/>
      <c r="M70" s="24">
        <v>119991</v>
      </c>
      <c r="N70" s="30"/>
      <c r="O70" s="24">
        <v>0</v>
      </c>
      <c r="P70" s="30"/>
      <c r="Q70" s="24">
        <v>0</v>
      </c>
      <c r="R70" s="30"/>
      <c r="S70" s="24">
        <v>0</v>
      </c>
      <c r="T70" s="40"/>
      <c r="U70" s="24">
        <v>0</v>
      </c>
      <c r="V70" s="30"/>
      <c r="W70" s="24">
        <v>0</v>
      </c>
      <c r="X70" s="30"/>
      <c r="Y70" s="24">
        <v>0</v>
      </c>
      <c r="Z70" s="30"/>
      <c r="AA70" s="24">
        <v>0</v>
      </c>
      <c r="AB70" s="30"/>
      <c r="AC70" s="40">
        <f t="shared" si="0"/>
        <v>3007888</v>
      </c>
      <c r="AD70" s="41"/>
      <c r="AE70" s="24">
        <v>115725</v>
      </c>
      <c r="AG70" s="24">
        <v>1047777</v>
      </c>
      <c r="AI70" s="24">
        <v>0</v>
      </c>
      <c r="AK70" s="32">
        <f>+GenRev!Q70-GenExp!AC70-AE70+GenRev!S70+AG70+AI70-'Gen Fd BS'!O70</f>
        <v>0</v>
      </c>
    </row>
    <row r="71" spans="1:37" s="32" customFormat="1" ht="12.75" customHeight="1" hidden="1">
      <c r="A71" s="23" t="s">
        <v>63</v>
      </c>
      <c r="B71" s="23"/>
      <c r="C71" s="24">
        <v>0</v>
      </c>
      <c r="D71" s="30"/>
      <c r="E71" s="24">
        <v>0</v>
      </c>
      <c r="F71" s="30"/>
      <c r="G71" s="24">
        <v>0</v>
      </c>
      <c r="H71" s="30"/>
      <c r="I71" s="24">
        <v>0</v>
      </c>
      <c r="J71" s="30"/>
      <c r="K71" s="24">
        <v>0</v>
      </c>
      <c r="L71" s="30"/>
      <c r="M71" s="24">
        <v>0</v>
      </c>
      <c r="N71" s="30"/>
      <c r="O71" s="24">
        <v>0</v>
      </c>
      <c r="P71" s="30"/>
      <c r="Q71" s="24">
        <v>0</v>
      </c>
      <c r="R71" s="30"/>
      <c r="S71" s="24">
        <v>0</v>
      </c>
      <c r="T71" s="40"/>
      <c r="U71" s="24">
        <v>0</v>
      </c>
      <c r="V71" s="30"/>
      <c r="W71" s="24">
        <v>0</v>
      </c>
      <c r="X71" s="30"/>
      <c r="Y71" s="24">
        <v>0</v>
      </c>
      <c r="Z71" s="30"/>
      <c r="AA71" s="24">
        <v>0</v>
      </c>
      <c r="AB71" s="30"/>
      <c r="AC71" s="40">
        <f t="shared" si="0"/>
        <v>0</v>
      </c>
      <c r="AD71" s="41"/>
      <c r="AE71" s="24">
        <v>0</v>
      </c>
      <c r="AG71" s="24">
        <v>0</v>
      </c>
      <c r="AI71" s="24">
        <v>0</v>
      </c>
      <c r="AK71" s="32">
        <f>+GenRev!Q71-GenExp!AC71-AE71+GenRev!S71+AG71+AI71-'Gen Fd BS'!O71</f>
        <v>0</v>
      </c>
    </row>
    <row r="72" spans="1:37" s="32" customFormat="1" ht="12.75" customHeight="1" hidden="1">
      <c r="A72" s="23" t="s">
        <v>132</v>
      </c>
      <c r="B72" s="23"/>
      <c r="C72" s="24">
        <v>0</v>
      </c>
      <c r="D72" s="30"/>
      <c r="E72" s="24">
        <v>0</v>
      </c>
      <c r="F72" s="30"/>
      <c r="G72" s="24">
        <v>0</v>
      </c>
      <c r="H72" s="30"/>
      <c r="I72" s="24">
        <v>0</v>
      </c>
      <c r="J72" s="30"/>
      <c r="K72" s="24">
        <v>0</v>
      </c>
      <c r="L72" s="30"/>
      <c r="M72" s="24">
        <v>0</v>
      </c>
      <c r="N72" s="30"/>
      <c r="O72" s="24">
        <v>0</v>
      </c>
      <c r="P72" s="30"/>
      <c r="Q72" s="24">
        <v>0</v>
      </c>
      <c r="R72" s="30"/>
      <c r="S72" s="24">
        <v>0</v>
      </c>
      <c r="T72" s="40"/>
      <c r="U72" s="24">
        <v>0</v>
      </c>
      <c r="V72" s="30"/>
      <c r="W72" s="24">
        <v>0</v>
      </c>
      <c r="X72" s="30"/>
      <c r="Y72" s="24">
        <v>0</v>
      </c>
      <c r="Z72" s="30"/>
      <c r="AA72" s="24">
        <v>0</v>
      </c>
      <c r="AB72" s="30"/>
      <c r="AC72" s="40">
        <f t="shared" si="0"/>
        <v>0</v>
      </c>
      <c r="AD72" s="41"/>
      <c r="AE72" s="24">
        <v>0</v>
      </c>
      <c r="AG72" s="24">
        <v>0</v>
      </c>
      <c r="AI72" s="24">
        <v>0</v>
      </c>
      <c r="AK72" s="32">
        <f>+GenRev!Q72-GenExp!AC72-AE72+GenRev!S72+AG72+AI72-'Gen Fd BS'!O72</f>
        <v>0</v>
      </c>
    </row>
    <row r="73" spans="1:37" s="32" customFormat="1" ht="12.75" customHeight="1" hidden="1">
      <c r="A73" s="23" t="s">
        <v>64</v>
      </c>
      <c r="B73" s="23"/>
      <c r="C73" s="24">
        <v>0</v>
      </c>
      <c r="D73" s="30"/>
      <c r="E73" s="24">
        <v>0</v>
      </c>
      <c r="F73" s="30"/>
      <c r="G73" s="24">
        <v>0</v>
      </c>
      <c r="H73" s="30"/>
      <c r="I73" s="24">
        <v>0</v>
      </c>
      <c r="J73" s="30"/>
      <c r="K73" s="24">
        <v>0</v>
      </c>
      <c r="L73" s="30"/>
      <c r="M73" s="24">
        <v>0</v>
      </c>
      <c r="N73" s="30"/>
      <c r="O73" s="24">
        <v>0</v>
      </c>
      <c r="P73" s="30"/>
      <c r="Q73" s="24">
        <v>0</v>
      </c>
      <c r="R73" s="30"/>
      <c r="S73" s="24">
        <v>0</v>
      </c>
      <c r="T73" s="40"/>
      <c r="U73" s="24">
        <v>0</v>
      </c>
      <c r="V73" s="30"/>
      <c r="W73" s="24">
        <v>0</v>
      </c>
      <c r="X73" s="30"/>
      <c r="Y73" s="24">
        <v>0</v>
      </c>
      <c r="Z73" s="30"/>
      <c r="AA73" s="24">
        <v>0</v>
      </c>
      <c r="AB73" s="30"/>
      <c r="AC73" s="40">
        <f t="shared" si="0"/>
        <v>0</v>
      </c>
      <c r="AD73" s="41"/>
      <c r="AE73" s="24">
        <v>0</v>
      </c>
      <c r="AG73" s="24">
        <v>0</v>
      </c>
      <c r="AI73" s="24">
        <v>0</v>
      </c>
      <c r="AK73" s="32">
        <f>+GenRev!Q73-GenExp!AC73-AE73+GenRev!S73+AG73+AI73-'Gen Fd BS'!O73</f>
        <v>0</v>
      </c>
    </row>
    <row r="74" spans="1:37" s="32" customFormat="1" ht="12.75" customHeight="1">
      <c r="A74" s="23" t="s">
        <v>65</v>
      </c>
      <c r="B74" s="23"/>
      <c r="C74" s="24">
        <v>4389183</v>
      </c>
      <c r="D74" s="30"/>
      <c r="E74" s="24">
        <v>1551566</v>
      </c>
      <c r="F74" s="30"/>
      <c r="G74" s="24">
        <v>6090499</v>
      </c>
      <c r="H74" s="30"/>
      <c r="I74" s="24">
        <v>121871</v>
      </c>
      <c r="J74" s="30"/>
      <c r="K74" s="24">
        <v>103609</v>
      </c>
      <c r="L74" s="30"/>
      <c r="M74" s="24">
        <v>713738</v>
      </c>
      <c r="N74" s="30"/>
      <c r="O74" s="24">
        <v>0</v>
      </c>
      <c r="P74" s="30"/>
      <c r="Q74" s="24">
        <v>362250</v>
      </c>
      <c r="R74" s="30"/>
      <c r="S74" s="24">
        <v>85878</v>
      </c>
      <c r="T74" s="40"/>
      <c r="U74" s="24">
        <v>0</v>
      </c>
      <c r="V74" s="30"/>
      <c r="W74" s="24">
        <v>0</v>
      </c>
      <c r="X74" s="30"/>
      <c r="Y74" s="24">
        <v>15263</v>
      </c>
      <c r="Z74" s="30"/>
      <c r="AA74" s="24">
        <v>4222</v>
      </c>
      <c r="AB74" s="30"/>
      <c r="AC74" s="40">
        <f t="shared" si="0"/>
        <v>13438079</v>
      </c>
      <c r="AD74" s="41"/>
      <c r="AE74" s="24">
        <v>223485</v>
      </c>
      <c r="AG74" s="24">
        <v>2933876</v>
      </c>
      <c r="AI74" s="24">
        <v>0</v>
      </c>
      <c r="AK74" s="32">
        <f>+GenRev!Q74-GenExp!AC74-AE74+GenRev!S74+AG74+AI74-'Gen Fd BS'!O74</f>
        <v>0</v>
      </c>
    </row>
    <row r="75" spans="1:37" s="32" customFormat="1" ht="12.75" customHeight="1">
      <c r="A75" s="23" t="s">
        <v>66</v>
      </c>
      <c r="B75" s="23"/>
      <c r="C75" s="24">
        <v>3063572</v>
      </c>
      <c r="D75" s="30"/>
      <c r="E75" s="24">
        <v>941088</v>
      </c>
      <c r="F75" s="30"/>
      <c r="G75" s="24">
        <v>2124029</v>
      </c>
      <c r="H75" s="30"/>
      <c r="I75" s="24">
        <v>123981</v>
      </c>
      <c r="J75" s="30"/>
      <c r="K75" s="24">
        <v>35421</v>
      </c>
      <c r="L75" s="30"/>
      <c r="M75" s="24">
        <v>308673</v>
      </c>
      <c r="N75" s="30"/>
      <c r="O75" s="24">
        <v>0</v>
      </c>
      <c r="P75" s="30"/>
      <c r="Q75" s="24">
        <v>251361</v>
      </c>
      <c r="R75" s="30"/>
      <c r="S75" s="24">
        <v>0</v>
      </c>
      <c r="T75" s="40"/>
      <c r="U75" s="24">
        <v>163296</v>
      </c>
      <c r="V75" s="30"/>
      <c r="W75" s="24">
        <v>0</v>
      </c>
      <c r="X75" s="30"/>
      <c r="Y75" s="24">
        <v>15180</v>
      </c>
      <c r="Z75" s="30"/>
      <c r="AA75" s="24">
        <v>2858</v>
      </c>
      <c r="AB75" s="30"/>
      <c r="AC75" s="40">
        <f t="shared" si="0"/>
        <v>7029459</v>
      </c>
      <c r="AD75" s="41"/>
      <c r="AE75" s="24">
        <v>421058</v>
      </c>
      <c r="AG75" s="24">
        <v>5229333</v>
      </c>
      <c r="AI75" s="24">
        <v>0</v>
      </c>
      <c r="AK75" s="32">
        <f>+GenRev!Q75-GenExp!AC75-AE75+GenRev!S75+AG75+AI75-'Gen Fd BS'!O75</f>
        <v>0</v>
      </c>
    </row>
    <row r="76" spans="1:37" s="32" customFormat="1" ht="12.75" customHeight="1">
      <c r="A76" s="23" t="s">
        <v>67</v>
      </c>
      <c r="B76" s="23"/>
      <c r="C76" s="24">
        <v>12449386</v>
      </c>
      <c r="D76" s="30"/>
      <c r="E76" s="24">
        <v>8903185</v>
      </c>
      <c r="F76" s="30"/>
      <c r="G76" s="24">
        <v>13083231</v>
      </c>
      <c r="H76" s="30"/>
      <c r="I76" s="24">
        <v>164265</v>
      </c>
      <c r="J76" s="30"/>
      <c r="K76" s="24">
        <v>0</v>
      </c>
      <c r="L76" s="30"/>
      <c r="M76" s="24">
        <v>717379</v>
      </c>
      <c r="N76" s="30"/>
      <c r="O76" s="24">
        <v>0</v>
      </c>
      <c r="P76" s="30"/>
      <c r="Q76" s="24">
        <v>0</v>
      </c>
      <c r="R76" s="30"/>
      <c r="S76" s="24">
        <v>0</v>
      </c>
      <c r="T76" s="40"/>
      <c r="U76" s="24">
        <v>0</v>
      </c>
      <c r="V76" s="30"/>
      <c r="W76" s="24">
        <v>0</v>
      </c>
      <c r="X76" s="30"/>
      <c r="Y76" s="24">
        <v>0</v>
      </c>
      <c r="Z76" s="30"/>
      <c r="AA76" s="24">
        <v>0</v>
      </c>
      <c r="AB76" s="30"/>
      <c r="AC76" s="40">
        <f t="shared" si="0"/>
        <v>35317446</v>
      </c>
      <c r="AD76" s="41"/>
      <c r="AE76" s="24">
        <v>176577</v>
      </c>
      <c r="AG76" s="24">
        <v>14070199</v>
      </c>
      <c r="AI76" s="24">
        <v>0</v>
      </c>
      <c r="AK76" s="32">
        <f>+GenRev!Q76-GenExp!AC76-AE76+GenRev!S76+AG76+AI76-'Gen Fd BS'!O76</f>
        <v>0</v>
      </c>
    </row>
    <row r="77" spans="1:37" s="32" customFormat="1" ht="12.75" customHeight="1">
      <c r="A77" s="23" t="s">
        <v>68</v>
      </c>
      <c r="B77" s="23"/>
      <c r="C77" s="24">
        <v>2884246</v>
      </c>
      <c r="D77" s="30"/>
      <c r="E77" s="24">
        <v>1436152</v>
      </c>
      <c r="F77" s="30"/>
      <c r="G77" s="24">
        <v>3511781</v>
      </c>
      <c r="H77" s="30"/>
      <c r="I77" s="24">
        <v>0</v>
      </c>
      <c r="J77" s="30"/>
      <c r="K77" s="24">
        <v>78393</v>
      </c>
      <c r="L77" s="30"/>
      <c r="M77" s="24">
        <v>305216</v>
      </c>
      <c r="N77" s="30"/>
      <c r="O77" s="24">
        <v>10706</v>
      </c>
      <c r="P77" s="30"/>
      <c r="Q77" s="24">
        <v>0</v>
      </c>
      <c r="R77" s="30"/>
      <c r="S77" s="24">
        <v>0</v>
      </c>
      <c r="T77" s="40"/>
      <c r="U77" s="24">
        <v>0</v>
      </c>
      <c r="V77" s="30"/>
      <c r="W77" s="24">
        <v>48141</v>
      </c>
      <c r="X77" s="30"/>
      <c r="Y77" s="24">
        <v>0</v>
      </c>
      <c r="Z77" s="30"/>
      <c r="AA77" s="24">
        <f>3363+23200</f>
        <v>26563</v>
      </c>
      <c r="AB77" s="30"/>
      <c r="AC77" s="40">
        <f aca="true" t="shared" si="1" ref="AC77:AC84">SUM(C77:AA77)</f>
        <v>8301198</v>
      </c>
      <c r="AD77" s="41"/>
      <c r="AE77" s="24">
        <f>359023+69600</f>
        <v>428623</v>
      </c>
      <c r="AG77" s="24">
        <v>2867188</v>
      </c>
      <c r="AI77" s="24">
        <v>0</v>
      </c>
      <c r="AK77" s="32">
        <f>+GenRev!Q77-GenExp!AC77-AE77+GenRev!S77+AG77+AI77-'Gen Fd BS'!O77</f>
        <v>0</v>
      </c>
    </row>
    <row r="78" spans="1:35" s="32" customFormat="1" ht="12.75" customHeight="1">
      <c r="A78" s="23"/>
      <c r="B78" s="23"/>
      <c r="C78" s="24"/>
      <c r="D78" s="30"/>
      <c r="E78" s="24"/>
      <c r="F78" s="30"/>
      <c r="G78" s="24"/>
      <c r="H78" s="30"/>
      <c r="I78" s="24"/>
      <c r="J78" s="30"/>
      <c r="K78" s="24"/>
      <c r="L78" s="30"/>
      <c r="M78" s="24"/>
      <c r="N78" s="30"/>
      <c r="O78" s="24"/>
      <c r="P78" s="30"/>
      <c r="Q78" s="24"/>
      <c r="R78" s="30"/>
      <c r="S78" s="24"/>
      <c r="T78" s="40"/>
      <c r="U78" s="24"/>
      <c r="V78" s="30"/>
      <c r="W78" s="24"/>
      <c r="X78" s="30"/>
      <c r="Y78" s="24"/>
      <c r="Z78" s="30"/>
      <c r="AA78" s="24"/>
      <c r="AB78" s="30"/>
      <c r="AC78" s="40"/>
      <c r="AD78" s="41"/>
      <c r="AE78" s="24"/>
      <c r="AG78" s="24"/>
      <c r="AI78" s="24">
        <v>0</v>
      </c>
    </row>
    <row r="79" spans="1:37" s="34" customFormat="1" ht="12.75" customHeight="1">
      <c r="A79" s="23"/>
      <c r="B79" s="23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30"/>
      <c r="O79" s="24"/>
      <c r="P79" s="30"/>
      <c r="Q79" s="24"/>
      <c r="R79" s="30"/>
      <c r="S79" s="24"/>
      <c r="T79" s="40"/>
      <c r="U79" s="24"/>
      <c r="V79" s="30"/>
      <c r="W79" s="24"/>
      <c r="X79" s="30"/>
      <c r="Y79" s="24"/>
      <c r="Z79" s="30"/>
      <c r="AA79" s="24"/>
      <c r="AB79" s="30"/>
      <c r="AC79" s="40" t="s">
        <v>249</v>
      </c>
      <c r="AD79" s="41"/>
      <c r="AE79" s="24"/>
      <c r="AG79" s="24"/>
      <c r="AI79" s="24">
        <v>0</v>
      </c>
      <c r="AK79" s="32"/>
    </row>
    <row r="80" spans="1:37" s="32" customFormat="1" ht="12.75" customHeight="1" hidden="1">
      <c r="A80" s="23" t="s">
        <v>176</v>
      </c>
      <c r="B80" s="23"/>
      <c r="C80" s="24">
        <v>0</v>
      </c>
      <c r="D80" s="30"/>
      <c r="E80" s="24">
        <v>0</v>
      </c>
      <c r="F80" s="30"/>
      <c r="G80" s="24">
        <v>0</v>
      </c>
      <c r="H80" s="30"/>
      <c r="I80" s="24">
        <v>0</v>
      </c>
      <c r="J80" s="30"/>
      <c r="K80" s="24">
        <v>0</v>
      </c>
      <c r="L80" s="30"/>
      <c r="M80" s="24">
        <v>0</v>
      </c>
      <c r="N80" s="30"/>
      <c r="O80" s="24">
        <v>0</v>
      </c>
      <c r="P80" s="30"/>
      <c r="Q80" s="24">
        <v>0</v>
      </c>
      <c r="R80" s="30"/>
      <c r="S80" s="24">
        <v>0</v>
      </c>
      <c r="T80" s="40"/>
      <c r="U80" s="24">
        <v>0</v>
      </c>
      <c r="V80" s="30"/>
      <c r="W80" s="24">
        <v>0</v>
      </c>
      <c r="X80" s="30"/>
      <c r="Y80" s="24">
        <v>0</v>
      </c>
      <c r="Z80" s="30"/>
      <c r="AA80" s="24">
        <v>0</v>
      </c>
      <c r="AB80" s="30"/>
      <c r="AC80" s="40">
        <f t="shared" si="1"/>
        <v>0</v>
      </c>
      <c r="AD80" s="41"/>
      <c r="AE80" s="24">
        <v>0</v>
      </c>
      <c r="AG80" s="24">
        <v>0</v>
      </c>
      <c r="AI80" s="24">
        <v>0</v>
      </c>
      <c r="AK80" s="32">
        <f>+GenRev!Q76-GenExp!AC80-AE80+GenRev!S76+AG80+AI80-'Gen Fd BS'!O76</f>
        <v>21423824</v>
      </c>
    </row>
    <row r="81" spans="1:37" s="32" customFormat="1" ht="12.75" customHeight="1">
      <c r="A81" s="23" t="s">
        <v>178</v>
      </c>
      <c r="B81" s="23"/>
      <c r="C81" s="44">
        <v>7117170</v>
      </c>
      <c r="D81" s="47"/>
      <c r="E81" s="44">
        <v>5216206</v>
      </c>
      <c r="F81" s="47"/>
      <c r="G81" s="44">
        <v>10987833</v>
      </c>
      <c r="H81" s="47"/>
      <c r="I81" s="44">
        <v>457955</v>
      </c>
      <c r="J81" s="47"/>
      <c r="K81" s="44">
        <v>158407</v>
      </c>
      <c r="L81" s="47"/>
      <c r="M81" s="44">
        <v>743391</v>
      </c>
      <c r="N81" s="47"/>
      <c r="O81" s="44">
        <v>0</v>
      </c>
      <c r="P81" s="47"/>
      <c r="Q81" s="44">
        <v>124906</v>
      </c>
      <c r="R81" s="47"/>
      <c r="S81" s="44">
        <v>0</v>
      </c>
      <c r="T81" s="61"/>
      <c r="U81" s="44">
        <v>64000</v>
      </c>
      <c r="V81" s="47"/>
      <c r="W81" s="44">
        <v>1657121</v>
      </c>
      <c r="X81" s="47"/>
      <c r="Y81" s="44">
        <v>0</v>
      </c>
      <c r="Z81" s="47"/>
      <c r="AA81" s="44">
        <v>0</v>
      </c>
      <c r="AB81" s="47"/>
      <c r="AC81" s="61">
        <f t="shared" si="1"/>
        <v>26526989</v>
      </c>
      <c r="AD81" s="80"/>
      <c r="AE81" s="44">
        <v>2972508</v>
      </c>
      <c r="AF81" s="44"/>
      <c r="AG81" s="44">
        <v>-702791</v>
      </c>
      <c r="AH81" s="44"/>
      <c r="AI81" s="24">
        <v>0</v>
      </c>
      <c r="AJ81" s="44"/>
      <c r="AK81" s="32">
        <f>+GenRev!Q81-GenExp!AC81-AE81+GenRev!S81+AG81+AI81-'Gen Fd BS'!O81</f>
        <v>0</v>
      </c>
    </row>
    <row r="82" spans="1:37" s="32" customFormat="1" ht="12.75" customHeight="1">
      <c r="A82" s="23" t="s">
        <v>69</v>
      </c>
      <c r="B82" s="23"/>
      <c r="C82" s="24">
        <v>5411835</v>
      </c>
      <c r="D82" s="30"/>
      <c r="E82" s="24">
        <v>3179766</v>
      </c>
      <c r="F82" s="30"/>
      <c r="G82" s="24">
        <v>1711510</v>
      </c>
      <c r="H82" s="30"/>
      <c r="I82" s="24">
        <v>395103</v>
      </c>
      <c r="J82" s="30"/>
      <c r="K82" s="24">
        <v>688518</v>
      </c>
      <c r="L82" s="30"/>
      <c r="M82" s="24">
        <v>575034</v>
      </c>
      <c r="N82" s="30"/>
      <c r="O82" s="24">
        <v>246308</v>
      </c>
      <c r="P82" s="30"/>
      <c r="Q82" s="24">
        <v>0</v>
      </c>
      <c r="R82" s="30"/>
      <c r="S82" s="24">
        <v>0</v>
      </c>
      <c r="T82" s="40"/>
      <c r="U82" s="24">
        <v>0</v>
      </c>
      <c r="V82" s="30"/>
      <c r="W82" s="24">
        <v>0</v>
      </c>
      <c r="X82" s="30"/>
      <c r="Y82" s="24">
        <v>48245</v>
      </c>
      <c r="Z82" s="30"/>
      <c r="AA82" s="24">
        <v>10227</v>
      </c>
      <c r="AB82" s="30"/>
      <c r="AC82" s="40">
        <f t="shared" si="1"/>
        <v>12266546</v>
      </c>
      <c r="AD82" s="41"/>
      <c r="AE82" s="24">
        <v>7238522</v>
      </c>
      <c r="AG82" s="24">
        <v>3832920</v>
      </c>
      <c r="AI82" s="24">
        <v>0</v>
      </c>
      <c r="AK82" s="32">
        <f>+GenRev!Q82-GenExp!AC82-AE82+GenRev!S82+AG82+AI82-'Gen Fd BS'!O82</f>
        <v>0</v>
      </c>
    </row>
    <row r="83" spans="1:37" s="32" customFormat="1" ht="12.75" customHeight="1">
      <c r="A83" s="23" t="s">
        <v>98</v>
      </c>
      <c r="B83" s="23"/>
      <c r="C83" s="24">
        <v>4541216</v>
      </c>
      <c r="D83" s="30"/>
      <c r="E83" s="24">
        <v>2859331</v>
      </c>
      <c r="F83" s="30"/>
      <c r="G83" s="24">
        <v>5098014</v>
      </c>
      <c r="H83" s="30"/>
      <c r="I83" s="24">
        <v>84342</v>
      </c>
      <c r="J83" s="30"/>
      <c r="K83" s="24">
        <v>133139</v>
      </c>
      <c r="L83" s="30"/>
      <c r="M83" s="24">
        <v>668266</v>
      </c>
      <c r="N83" s="30"/>
      <c r="O83" s="24">
        <v>0</v>
      </c>
      <c r="P83" s="30"/>
      <c r="Q83" s="24">
        <v>0</v>
      </c>
      <c r="R83" s="30"/>
      <c r="S83" s="24">
        <v>0</v>
      </c>
      <c r="T83" s="40"/>
      <c r="U83" s="24">
        <v>0</v>
      </c>
      <c r="V83" s="30"/>
      <c r="W83" s="24">
        <v>163000</v>
      </c>
      <c r="X83" s="30"/>
      <c r="Y83" s="24">
        <v>13263</v>
      </c>
      <c r="Z83" s="30"/>
      <c r="AA83" s="24">
        <v>2740</v>
      </c>
      <c r="AB83" s="30"/>
      <c r="AC83" s="40">
        <f t="shared" si="1"/>
        <v>13563311</v>
      </c>
      <c r="AD83" s="41"/>
      <c r="AE83" s="24">
        <v>831504</v>
      </c>
      <c r="AG83" s="24">
        <v>3848688</v>
      </c>
      <c r="AI83" s="24">
        <v>0</v>
      </c>
      <c r="AK83" s="32">
        <f>+GenRev!Q83-GenExp!AC83-AE83+GenRev!S83+AG83+AI83-'Gen Fd BS'!O83</f>
        <v>0</v>
      </c>
    </row>
    <row r="84" spans="1:37" s="32" customFormat="1" ht="12.75" customHeight="1">
      <c r="A84" s="23" t="s">
        <v>70</v>
      </c>
      <c r="B84" s="23"/>
      <c r="C84" s="24">
        <v>6266918</v>
      </c>
      <c r="D84" s="30"/>
      <c r="E84" s="24">
        <v>1689164</v>
      </c>
      <c r="F84" s="30"/>
      <c r="G84" s="24">
        <f>2971929+504551</f>
        <v>3476480</v>
      </c>
      <c r="H84" s="30"/>
      <c r="I84" s="24">
        <v>0</v>
      </c>
      <c r="J84" s="30"/>
      <c r="K84" s="24">
        <v>348927</v>
      </c>
      <c r="L84" s="30"/>
      <c r="M84" s="24">
        <v>410804</v>
      </c>
      <c r="N84" s="30"/>
      <c r="O84" s="24">
        <v>96133</v>
      </c>
      <c r="P84" s="30"/>
      <c r="Q84" s="24">
        <v>236138</v>
      </c>
      <c r="R84" s="30"/>
      <c r="S84" s="24">
        <v>0</v>
      </c>
      <c r="T84" s="40"/>
      <c r="U84" s="24">
        <v>21624</v>
      </c>
      <c r="V84" s="30"/>
      <c r="W84" s="24">
        <v>0</v>
      </c>
      <c r="X84" s="30"/>
      <c r="Y84" s="24">
        <v>329403</v>
      </c>
      <c r="Z84" s="30"/>
      <c r="AA84" s="24">
        <v>56587</v>
      </c>
      <c r="AB84" s="30"/>
      <c r="AC84" s="40">
        <f t="shared" si="1"/>
        <v>12932178</v>
      </c>
      <c r="AD84" s="41"/>
      <c r="AE84" s="24">
        <v>1489446</v>
      </c>
      <c r="AG84" s="24">
        <v>-1400200</v>
      </c>
      <c r="AI84" s="24">
        <v>0</v>
      </c>
      <c r="AK84" s="32">
        <f>+GenRev!Q84-GenExp!AC84-AE84+GenRev!S84+AG84+AI84-'Gen Fd BS'!O84</f>
        <v>0</v>
      </c>
    </row>
    <row r="85" spans="1:37" s="32" customFormat="1" ht="12.75" customHeight="1">
      <c r="A85" s="23" t="s">
        <v>71</v>
      </c>
      <c r="B85" s="23"/>
      <c r="C85" s="24">
        <v>5240360</v>
      </c>
      <c r="D85" s="30"/>
      <c r="E85" s="24">
        <v>2235555</v>
      </c>
      <c r="F85" s="30"/>
      <c r="G85" s="24">
        <v>5372964</v>
      </c>
      <c r="H85" s="30"/>
      <c r="I85" s="24">
        <v>35029</v>
      </c>
      <c r="J85" s="30"/>
      <c r="K85" s="24">
        <v>127126</v>
      </c>
      <c r="L85" s="30"/>
      <c r="M85" s="24">
        <v>382304</v>
      </c>
      <c r="N85" s="30"/>
      <c r="O85" s="24">
        <v>0</v>
      </c>
      <c r="P85" s="30"/>
      <c r="Q85" s="24">
        <v>261212</v>
      </c>
      <c r="R85" s="30"/>
      <c r="S85" s="24">
        <v>712510</v>
      </c>
      <c r="T85" s="40"/>
      <c r="U85" s="24">
        <v>0</v>
      </c>
      <c r="V85" s="30"/>
      <c r="W85" s="24">
        <v>0</v>
      </c>
      <c r="X85" s="30"/>
      <c r="Y85" s="24">
        <v>810</v>
      </c>
      <c r="Z85" s="30"/>
      <c r="AA85" s="24">
        <v>304</v>
      </c>
      <c r="AB85" s="30"/>
      <c r="AC85" s="40">
        <f aca="true" t="shared" si="2" ref="AC85:AC98">SUM(C85:AA85)</f>
        <v>14368174</v>
      </c>
      <c r="AD85" s="81"/>
      <c r="AE85" s="24">
        <v>2171463</v>
      </c>
      <c r="AF85" s="24"/>
      <c r="AG85" s="24">
        <v>3096087</v>
      </c>
      <c r="AH85" s="24"/>
      <c r="AI85" s="24">
        <v>0</v>
      </c>
      <c r="AJ85" s="24"/>
      <c r="AK85" s="32">
        <f>+GenRev!Q85-GenExp!AC85-AE85+GenRev!S85+AG85+AI85-'Gen Fd BS'!O85</f>
        <v>0</v>
      </c>
    </row>
    <row r="86" spans="1:37" s="32" customFormat="1" ht="12.75" customHeight="1">
      <c r="A86" s="23" t="s">
        <v>72</v>
      </c>
      <c r="B86" s="23"/>
      <c r="C86" s="24">
        <v>3280750</v>
      </c>
      <c r="D86" s="30"/>
      <c r="E86" s="24">
        <v>2002586</v>
      </c>
      <c r="F86" s="30"/>
      <c r="G86" s="24">
        <v>4178392</v>
      </c>
      <c r="H86" s="30"/>
      <c r="I86" s="24">
        <v>761065</v>
      </c>
      <c r="J86" s="30"/>
      <c r="K86" s="24">
        <v>104952</v>
      </c>
      <c r="L86" s="30"/>
      <c r="M86" s="24">
        <v>592252</v>
      </c>
      <c r="N86" s="30"/>
      <c r="O86" s="24">
        <v>0</v>
      </c>
      <c r="P86" s="30"/>
      <c r="Q86" s="24">
        <v>0</v>
      </c>
      <c r="R86" s="30"/>
      <c r="S86" s="24">
        <v>0</v>
      </c>
      <c r="T86" s="40"/>
      <c r="U86" s="24">
        <v>0</v>
      </c>
      <c r="V86" s="30"/>
      <c r="W86" s="24">
        <v>295837</v>
      </c>
      <c r="X86" s="30"/>
      <c r="Y86" s="24">
        <v>6197</v>
      </c>
      <c r="Z86" s="30"/>
      <c r="AA86" s="24">
        <v>1085</v>
      </c>
      <c r="AB86" s="30"/>
      <c r="AC86" s="40">
        <f t="shared" si="2"/>
        <v>11223116</v>
      </c>
      <c r="AD86" s="41"/>
      <c r="AE86" s="24">
        <f>150630</f>
        <v>150630</v>
      </c>
      <c r="AG86" s="24">
        <v>980520</v>
      </c>
      <c r="AI86" s="24">
        <v>0</v>
      </c>
      <c r="AK86" s="32">
        <f>+GenRev!Q86-GenExp!AC86-AE86+GenRev!S86+AG86+AI86-'Gen Fd BS'!O86</f>
        <v>0</v>
      </c>
    </row>
    <row r="87" spans="1:37" s="32" customFormat="1" ht="12.75" customHeight="1">
      <c r="A87" s="23" t="s">
        <v>73</v>
      </c>
      <c r="B87" s="23"/>
      <c r="C87" s="24">
        <v>22642884</v>
      </c>
      <c r="D87" s="30"/>
      <c r="E87" s="24">
        <v>12548203</v>
      </c>
      <c r="F87" s="30"/>
      <c r="G87" s="24">
        <v>19896406</v>
      </c>
      <c r="H87" s="30"/>
      <c r="I87" s="24">
        <v>42153</v>
      </c>
      <c r="J87" s="30"/>
      <c r="K87" s="24">
        <v>0</v>
      </c>
      <c r="L87" s="30"/>
      <c r="M87" s="24">
        <v>1340870</v>
      </c>
      <c r="N87" s="30"/>
      <c r="O87" s="24">
        <v>0</v>
      </c>
      <c r="P87" s="30"/>
      <c r="Q87" s="24">
        <v>0</v>
      </c>
      <c r="R87" s="30"/>
      <c r="S87" s="24">
        <v>0</v>
      </c>
      <c r="T87" s="40"/>
      <c r="U87" s="24">
        <v>0</v>
      </c>
      <c r="V87" s="30"/>
      <c r="W87" s="24">
        <v>0</v>
      </c>
      <c r="X87" s="30"/>
      <c r="Y87" s="24">
        <v>2430</v>
      </c>
      <c r="Z87" s="30"/>
      <c r="AA87" s="24">
        <v>9</v>
      </c>
      <c r="AB87" s="30"/>
      <c r="AC87" s="40">
        <f t="shared" si="2"/>
        <v>56472955</v>
      </c>
      <c r="AD87" s="41"/>
      <c r="AE87" s="24">
        <v>190890</v>
      </c>
      <c r="AG87" s="24">
        <v>15840154</v>
      </c>
      <c r="AI87" s="24">
        <v>0</v>
      </c>
      <c r="AK87" s="32">
        <f>+GenRev!Q87-GenExp!AC87-AE87+GenRev!S87+AG87+AI87-'Gen Fd BS'!O87</f>
        <v>0</v>
      </c>
    </row>
    <row r="88" spans="1:37" s="32" customFormat="1" ht="12.75" customHeight="1" hidden="1">
      <c r="A88" s="23" t="s">
        <v>74</v>
      </c>
      <c r="B88" s="23"/>
      <c r="C88" s="24">
        <v>0</v>
      </c>
      <c r="D88" s="30"/>
      <c r="E88" s="24">
        <v>0</v>
      </c>
      <c r="F88" s="30"/>
      <c r="G88" s="24">
        <v>0</v>
      </c>
      <c r="H88" s="30"/>
      <c r="I88" s="24">
        <v>0</v>
      </c>
      <c r="J88" s="30"/>
      <c r="K88" s="24">
        <v>0</v>
      </c>
      <c r="L88" s="30"/>
      <c r="M88" s="24">
        <v>0</v>
      </c>
      <c r="N88" s="30"/>
      <c r="O88" s="24">
        <v>0</v>
      </c>
      <c r="P88" s="30"/>
      <c r="Q88" s="24">
        <v>0</v>
      </c>
      <c r="R88" s="30"/>
      <c r="S88" s="24">
        <v>0</v>
      </c>
      <c r="T88" s="40"/>
      <c r="U88" s="24">
        <v>0</v>
      </c>
      <c r="V88" s="30"/>
      <c r="W88" s="24">
        <v>0</v>
      </c>
      <c r="X88" s="30"/>
      <c r="Y88" s="24">
        <v>0</v>
      </c>
      <c r="Z88" s="30"/>
      <c r="AA88" s="24">
        <v>0</v>
      </c>
      <c r="AB88" s="30"/>
      <c r="AC88" s="40">
        <f t="shared" si="2"/>
        <v>0</v>
      </c>
      <c r="AD88" s="41"/>
      <c r="AE88" s="24">
        <v>0</v>
      </c>
      <c r="AG88" s="24">
        <v>0</v>
      </c>
      <c r="AI88" s="24">
        <v>0</v>
      </c>
      <c r="AK88" s="32">
        <f>+GenRev!Q88-GenExp!AC88-AE88+GenRev!S88+AG88+AI88-'Gen Fd BS'!O88</f>
        <v>0</v>
      </c>
    </row>
    <row r="89" spans="1:37" s="32" customFormat="1" ht="12.75" customHeight="1">
      <c r="A89" s="23" t="s">
        <v>75</v>
      </c>
      <c r="B89" s="23"/>
      <c r="C89" s="24">
        <v>16759705</v>
      </c>
      <c r="D89" s="30"/>
      <c r="E89" s="24">
        <v>12039171</v>
      </c>
      <c r="F89" s="30"/>
      <c r="G89" s="24">
        <v>12297255</v>
      </c>
      <c r="H89" s="30"/>
      <c r="I89" s="24">
        <v>0</v>
      </c>
      <c r="J89" s="30"/>
      <c r="K89" s="24">
        <v>0</v>
      </c>
      <c r="L89" s="30"/>
      <c r="M89" s="24">
        <v>980301</v>
      </c>
      <c r="N89" s="30"/>
      <c r="O89" s="24">
        <v>0</v>
      </c>
      <c r="P89" s="30"/>
      <c r="Q89" s="24">
        <v>0</v>
      </c>
      <c r="R89" s="30"/>
      <c r="S89" s="24">
        <v>0</v>
      </c>
      <c r="T89" s="40"/>
      <c r="U89" s="24">
        <v>0</v>
      </c>
      <c r="V89" s="30"/>
      <c r="W89" s="24">
        <v>0</v>
      </c>
      <c r="X89" s="30"/>
      <c r="Y89" s="24">
        <v>100338</v>
      </c>
      <c r="Z89" s="30"/>
      <c r="AA89" s="24">
        <f>39767</f>
        <v>39767</v>
      </c>
      <c r="AB89" s="30"/>
      <c r="AC89" s="40">
        <f t="shared" si="2"/>
        <v>42216537</v>
      </c>
      <c r="AD89" s="41"/>
      <c r="AE89" s="24">
        <v>2969215</v>
      </c>
      <c r="AG89" s="24">
        <v>12865107</v>
      </c>
      <c r="AI89" s="24">
        <v>0</v>
      </c>
      <c r="AK89" s="32">
        <f>+GenRev!Q89-GenExp!AC89-AE89+GenRev!S89+AG89+AI89-'Gen Fd BS'!O89</f>
        <v>0</v>
      </c>
    </row>
    <row r="90" spans="1:37" s="32" customFormat="1" ht="12.75" customHeight="1">
      <c r="A90" s="23" t="s">
        <v>76</v>
      </c>
      <c r="B90" s="23"/>
      <c r="C90" s="24">
        <v>4078391</v>
      </c>
      <c r="D90" s="30"/>
      <c r="E90" s="24">
        <v>3708121</v>
      </c>
      <c r="F90" s="30"/>
      <c r="G90" s="24">
        <v>2619618</v>
      </c>
      <c r="H90" s="30"/>
      <c r="I90" s="24">
        <v>111421</v>
      </c>
      <c r="J90" s="30"/>
      <c r="K90" s="24">
        <v>197614</v>
      </c>
      <c r="L90" s="30"/>
      <c r="M90" s="24">
        <v>689852</v>
      </c>
      <c r="N90" s="30"/>
      <c r="O90" s="24">
        <v>0</v>
      </c>
      <c r="P90" s="30"/>
      <c r="Q90" s="24">
        <v>373642</v>
      </c>
      <c r="R90" s="30"/>
      <c r="S90" s="24">
        <v>0</v>
      </c>
      <c r="T90" s="40"/>
      <c r="U90" s="24">
        <v>0</v>
      </c>
      <c r="V90" s="30"/>
      <c r="W90" s="24">
        <v>1383510</v>
      </c>
      <c r="X90" s="30"/>
      <c r="Y90" s="24">
        <v>2964</v>
      </c>
      <c r="Z90" s="30"/>
      <c r="AA90" s="24">
        <v>936</v>
      </c>
      <c r="AB90" s="30"/>
      <c r="AC90" s="40">
        <f t="shared" si="2"/>
        <v>13166069</v>
      </c>
      <c r="AD90" s="41"/>
      <c r="AE90" s="24">
        <v>6596942</v>
      </c>
      <c r="AG90" s="24">
        <v>12079400</v>
      </c>
      <c r="AI90" s="24">
        <v>0</v>
      </c>
      <c r="AK90" s="32">
        <f>+GenRev!Q90-GenExp!AC90-AE90+GenRev!S90+AG90+AI90-'Gen Fd BS'!O90</f>
        <v>0</v>
      </c>
    </row>
    <row r="91" spans="1:37" s="24" customFormat="1" ht="12.75" customHeight="1">
      <c r="A91" s="17" t="s">
        <v>77</v>
      </c>
      <c r="B91" s="17"/>
      <c r="C91" s="24">
        <v>7154018</v>
      </c>
      <c r="D91" s="30"/>
      <c r="E91" s="24">
        <v>2132617</v>
      </c>
      <c r="F91" s="30"/>
      <c r="G91" s="24">
        <v>4751268</v>
      </c>
      <c r="H91" s="30"/>
      <c r="I91" s="24">
        <v>132142</v>
      </c>
      <c r="J91" s="30"/>
      <c r="K91" s="24">
        <v>298868</v>
      </c>
      <c r="L91" s="30"/>
      <c r="M91" s="24">
        <v>1663499</v>
      </c>
      <c r="N91" s="30"/>
      <c r="O91" s="24">
        <v>122995</v>
      </c>
      <c r="P91" s="30"/>
      <c r="Q91" s="24">
        <v>0</v>
      </c>
      <c r="R91" s="30"/>
      <c r="S91" s="24">
        <v>0</v>
      </c>
      <c r="T91" s="40"/>
      <c r="U91" s="24">
        <v>0</v>
      </c>
      <c r="V91" s="30"/>
      <c r="W91" s="24">
        <v>532016</v>
      </c>
      <c r="X91" s="30"/>
      <c r="Y91" s="24">
        <v>0</v>
      </c>
      <c r="Z91" s="30"/>
      <c r="AA91" s="24">
        <v>0</v>
      </c>
      <c r="AB91" s="30"/>
      <c r="AC91" s="40">
        <f t="shared" si="2"/>
        <v>16787423</v>
      </c>
      <c r="AD91" s="41"/>
      <c r="AE91" s="24">
        <v>966059</v>
      </c>
      <c r="AG91" s="24">
        <v>5472468</v>
      </c>
      <c r="AI91" s="24">
        <v>67995</v>
      </c>
      <c r="AK91" s="32">
        <f>+GenRev!Q91-GenExp!AC91-AE91+GenRev!S91+AG91+AI91-'Gen Fd BS'!O91</f>
        <v>0</v>
      </c>
    </row>
    <row r="92" spans="1:37" s="32" customFormat="1" ht="12.75" customHeight="1">
      <c r="A92" s="23" t="s">
        <v>78</v>
      </c>
      <c r="B92" s="23"/>
      <c r="C92" s="24">
        <v>2811859</v>
      </c>
      <c r="D92" s="30"/>
      <c r="E92" s="24">
        <v>1137087</v>
      </c>
      <c r="F92" s="30"/>
      <c r="G92" s="24">
        <v>2421490</v>
      </c>
      <c r="H92" s="30"/>
      <c r="I92" s="24">
        <v>38381</v>
      </c>
      <c r="J92" s="30"/>
      <c r="K92" s="24">
        <v>48268</v>
      </c>
      <c r="L92" s="30"/>
      <c r="M92" s="24">
        <v>219928</v>
      </c>
      <c r="N92" s="30"/>
      <c r="O92" s="24">
        <v>30500</v>
      </c>
      <c r="P92" s="30"/>
      <c r="Q92" s="24">
        <v>0</v>
      </c>
      <c r="R92" s="30"/>
      <c r="S92" s="24">
        <v>0</v>
      </c>
      <c r="T92" s="40"/>
      <c r="U92" s="24">
        <v>0</v>
      </c>
      <c r="V92" s="30"/>
      <c r="W92" s="24">
        <v>195886</v>
      </c>
      <c r="X92" s="30"/>
      <c r="Y92" s="24">
        <v>8740</v>
      </c>
      <c r="Z92" s="30"/>
      <c r="AA92" s="24">
        <v>1057</v>
      </c>
      <c r="AB92" s="30"/>
      <c r="AC92" s="40">
        <f t="shared" si="2"/>
        <v>6913196</v>
      </c>
      <c r="AD92" s="41"/>
      <c r="AE92" s="24">
        <v>158155</v>
      </c>
      <c r="AG92" s="24">
        <v>313949</v>
      </c>
      <c r="AI92" s="24">
        <v>0</v>
      </c>
      <c r="AK92" s="32">
        <f>+GenRev!Q92-GenExp!AC92-AE92+GenRev!S92+AG92+AI92-'Gen Fd BS'!O92</f>
        <v>0</v>
      </c>
    </row>
    <row r="93" spans="1:37" s="32" customFormat="1" ht="12.75" customHeight="1" hidden="1">
      <c r="A93" s="23" t="s">
        <v>79</v>
      </c>
      <c r="B93" s="23"/>
      <c r="C93" s="24">
        <v>0</v>
      </c>
      <c r="D93" s="30"/>
      <c r="E93" s="24">
        <v>0</v>
      </c>
      <c r="F93" s="30"/>
      <c r="G93" s="24">
        <v>0</v>
      </c>
      <c r="H93" s="30"/>
      <c r="I93" s="24">
        <v>0</v>
      </c>
      <c r="J93" s="30"/>
      <c r="K93" s="24">
        <v>0</v>
      </c>
      <c r="L93" s="30"/>
      <c r="M93" s="24">
        <v>0</v>
      </c>
      <c r="N93" s="30"/>
      <c r="O93" s="24">
        <v>0</v>
      </c>
      <c r="P93" s="30"/>
      <c r="Q93" s="24">
        <v>0</v>
      </c>
      <c r="R93" s="30"/>
      <c r="S93" s="24">
        <v>0</v>
      </c>
      <c r="T93" s="40"/>
      <c r="U93" s="24">
        <v>0</v>
      </c>
      <c r="V93" s="30"/>
      <c r="W93" s="24">
        <v>0</v>
      </c>
      <c r="X93" s="30"/>
      <c r="Y93" s="24">
        <v>0</v>
      </c>
      <c r="Z93" s="30"/>
      <c r="AA93" s="24">
        <v>0</v>
      </c>
      <c r="AB93" s="30"/>
      <c r="AC93" s="40">
        <f t="shared" si="2"/>
        <v>0</v>
      </c>
      <c r="AD93" s="41"/>
      <c r="AE93" s="24">
        <v>0</v>
      </c>
      <c r="AG93" s="24">
        <v>0</v>
      </c>
      <c r="AI93" s="24">
        <v>0</v>
      </c>
      <c r="AK93" s="32">
        <f>+GenRev!Q93-GenExp!AC93-AE93+GenRev!S93+AG93+AI93-'Gen Fd BS'!O93</f>
        <v>0</v>
      </c>
    </row>
    <row r="94" spans="1:37" s="32" customFormat="1" ht="12.75" customHeight="1">
      <c r="A94" s="23" t="s">
        <v>80</v>
      </c>
      <c r="B94" s="23"/>
      <c r="C94" s="24">
        <v>18544517</v>
      </c>
      <c r="D94" s="30"/>
      <c r="E94" s="24">
        <v>7736300</v>
      </c>
      <c r="F94" s="30"/>
      <c r="G94" s="24">
        <v>23873714</v>
      </c>
      <c r="H94" s="30"/>
      <c r="I94" s="24">
        <v>0</v>
      </c>
      <c r="J94" s="30"/>
      <c r="K94" s="24">
        <v>474</v>
      </c>
      <c r="L94" s="30"/>
      <c r="M94" s="24">
        <v>1078214</v>
      </c>
      <c r="N94" s="30"/>
      <c r="O94" s="24">
        <v>208744</v>
      </c>
      <c r="P94" s="30"/>
      <c r="Q94" s="24">
        <v>0</v>
      </c>
      <c r="R94" s="30"/>
      <c r="S94" s="24">
        <v>0</v>
      </c>
      <c r="T94" s="40"/>
      <c r="U94" s="24">
        <v>0</v>
      </c>
      <c r="V94" s="30"/>
      <c r="W94" s="24">
        <v>0</v>
      </c>
      <c r="X94" s="30"/>
      <c r="Y94" s="24">
        <v>0</v>
      </c>
      <c r="Z94" s="30"/>
      <c r="AA94" s="24">
        <v>0</v>
      </c>
      <c r="AB94" s="30"/>
      <c r="AC94" s="40">
        <f t="shared" si="2"/>
        <v>51441963</v>
      </c>
      <c r="AD94" s="41"/>
      <c r="AE94" s="24">
        <v>5031364</v>
      </c>
      <c r="AG94" s="24">
        <v>24080551</v>
      </c>
      <c r="AI94" s="24">
        <v>-1197</v>
      </c>
      <c r="AK94" s="32">
        <f>+GenRev!Q94-GenExp!AC94-AE94+GenRev!S94+AG94+AI94-'Gen Fd BS'!O94</f>
        <v>0</v>
      </c>
    </row>
    <row r="95" spans="1:37" s="32" customFormat="1" ht="12.75" customHeight="1">
      <c r="A95" s="23" t="s">
        <v>81</v>
      </c>
      <c r="B95" s="23"/>
      <c r="C95" s="24">
        <v>4738027</v>
      </c>
      <c r="D95" s="30"/>
      <c r="E95" s="24">
        <v>1575160</v>
      </c>
      <c r="F95" s="30"/>
      <c r="G95" s="24">
        <v>7152865</v>
      </c>
      <c r="H95" s="30"/>
      <c r="I95" s="24">
        <v>1011057</v>
      </c>
      <c r="J95" s="30"/>
      <c r="K95" s="24">
        <v>114109</v>
      </c>
      <c r="L95" s="30"/>
      <c r="M95" s="24">
        <v>454184</v>
      </c>
      <c r="N95" s="30"/>
      <c r="O95" s="24">
        <v>117782</v>
      </c>
      <c r="P95" s="30"/>
      <c r="Q95" s="24">
        <v>0</v>
      </c>
      <c r="R95" s="30"/>
      <c r="S95" s="24">
        <v>0</v>
      </c>
      <c r="T95" s="40"/>
      <c r="U95" s="24">
        <v>0</v>
      </c>
      <c r="V95" s="30"/>
      <c r="W95" s="24">
        <v>0</v>
      </c>
      <c r="X95" s="30"/>
      <c r="Y95" s="24">
        <v>155747</v>
      </c>
      <c r="Z95" s="30"/>
      <c r="AA95" s="24">
        <v>119539</v>
      </c>
      <c r="AB95" s="30"/>
      <c r="AC95" s="40">
        <f t="shared" si="2"/>
        <v>15438470</v>
      </c>
      <c r="AD95" s="41"/>
      <c r="AE95" s="24">
        <v>1633419</v>
      </c>
      <c r="AG95" s="24">
        <v>7203392</v>
      </c>
      <c r="AI95" s="24">
        <v>0</v>
      </c>
      <c r="AK95" s="32">
        <f>+GenRev!Q95-GenExp!AC95-AE95+GenRev!S95+AG95+AI95-'Gen Fd BS'!O95</f>
        <v>0</v>
      </c>
    </row>
    <row r="96" spans="1:37" s="32" customFormat="1" ht="12.75" customHeight="1">
      <c r="A96" s="23" t="s">
        <v>82</v>
      </c>
      <c r="B96" s="23"/>
      <c r="C96" s="24">
        <v>5403247</v>
      </c>
      <c r="D96" s="30"/>
      <c r="E96" s="24">
        <v>4567345</v>
      </c>
      <c r="F96" s="30"/>
      <c r="G96" s="24">
        <v>7917780</v>
      </c>
      <c r="H96" s="30"/>
      <c r="I96" s="24">
        <v>134070</v>
      </c>
      <c r="J96" s="30"/>
      <c r="K96" s="24">
        <v>252400</v>
      </c>
      <c r="L96" s="30"/>
      <c r="M96" s="24">
        <v>786526</v>
      </c>
      <c r="N96" s="30"/>
      <c r="O96" s="24">
        <v>0</v>
      </c>
      <c r="P96" s="30"/>
      <c r="Q96" s="24">
        <v>527294</v>
      </c>
      <c r="R96" s="30"/>
      <c r="S96" s="24">
        <v>0</v>
      </c>
      <c r="T96" s="40"/>
      <c r="U96" s="24">
        <v>0</v>
      </c>
      <c r="V96" s="30"/>
      <c r="W96" s="24">
        <v>0</v>
      </c>
      <c r="X96" s="30"/>
      <c r="Y96" s="24">
        <v>0</v>
      </c>
      <c r="Z96" s="30"/>
      <c r="AA96" s="24">
        <v>0</v>
      </c>
      <c r="AB96" s="30"/>
      <c r="AC96" s="40">
        <f t="shared" si="2"/>
        <v>19588662</v>
      </c>
      <c r="AD96" s="41"/>
      <c r="AE96" s="24">
        <v>1361985</v>
      </c>
      <c r="AG96" s="24">
        <v>5884001</v>
      </c>
      <c r="AI96" s="24">
        <v>-24987</v>
      </c>
      <c r="AK96" s="32">
        <f>+GenRev!Q96-GenExp!AC96-AE96+GenRev!S96+AG96+AI96-'Gen Fd BS'!O96</f>
        <v>0</v>
      </c>
    </row>
    <row r="97" spans="1:37" s="32" customFormat="1" ht="12.75" customHeight="1" hidden="1">
      <c r="A97" s="23" t="s">
        <v>174</v>
      </c>
      <c r="B97" s="23"/>
      <c r="C97" s="24">
        <v>0</v>
      </c>
      <c r="D97" s="30"/>
      <c r="E97" s="24">
        <v>0</v>
      </c>
      <c r="F97" s="30"/>
      <c r="G97" s="24">
        <v>0</v>
      </c>
      <c r="H97" s="30"/>
      <c r="I97" s="24">
        <v>0</v>
      </c>
      <c r="J97" s="30"/>
      <c r="K97" s="24">
        <v>0</v>
      </c>
      <c r="L97" s="30"/>
      <c r="M97" s="24">
        <v>0</v>
      </c>
      <c r="N97" s="30"/>
      <c r="O97" s="24">
        <v>0</v>
      </c>
      <c r="P97" s="30"/>
      <c r="Q97" s="24">
        <v>0</v>
      </c>
      <c r="R97" s="30"/>
      <c r="S97" s="24">
        <v>0</v>
      </c>
      <c r="T97" s="40"/>
      <c r="U97" s="24">
        <v>0</v>
      </c>
      <c r="V97" s="30"/>
      <c r="W97" s="24">
        <v>0</v>
      </c>
      <c r="X97" s="30"/>
      <c r="Y97" s="24">
        <v>0</v>
      </c>
      <c r="Z97" s="30"/>
      <c r="AA97" s="24">
        <v>0</v>
      </c>
      <c r="AB97" s="30"/>
      <c r="AC97" s="40">
        <f t="shared" si="2"/>
        <v>0</v>
      </c>
      <c r="AD97" s="41"/>
      <c r="AE97" s="24">
        <v>0</v>
      </c>
      <c r="AG97" s="24">
        <v>0</v>
      </c>
      <c r="AI97" s="24">
        <v>0</v>
      </c>
      <c r="AK97" s="32">
        <f>+GenRev!Q97-GenExp!AC97-AE97+GenRev!S97+AG97+AI97-'Gen Fd BS'!O97</f>
        <v>0</v>
      </c>
    </row>
    <row r="98" spans="1:37" s="32" customFormat="1" ht="12.75" customHeight="1">
      <c r="A98" s="23" t="s">
        <v>83</v>
      </c>
      <c r="B98" s="23"/>
      <c r="C98" s="24">
        <v>15827796</v>
      </c>
      <c r="D98" s="30"/>
      <c r="E98" s="24">
        <f>7234556+399154</f>
        <v>7633710</v>
      </c>
      <c r="F98" s="30"/>
      <c r="G98" s="24">
        <v>7096484</v>
      </c>
      <c r="H98" s="30"/>
      <c r="I98" s="24">
        <v>592609</v>
      </c>
      <c r="J98" s="30"/>
      <c r="K98" s="24">
        <v>291566</v>
      </c>
      <c r="L98" s="30"/>
      <c r="M98" s="24">
        <v>623755</v>
      </c>
      <c r="N98" s="30"/>
      <c r="O98" s="24">
        <v>487327</v>
      </c>
      <c r="P98" s="30"/>
      <c r="Q98" s="24">
        <v>145428</v>
      </c>
      <c r="R98" s="30"/>
      <c r="S98" s="24">
        <v>396678</v>
      </c>
      <c r="T98" s="40"/>
      <c r="U98" s="24">
        <v>0</v>
      </c>
      <c r="V98" s="30"/>
      <c r="W98" s="24">
        <v>0</v>
      </c>
      <c r="X98" s="30"/>
      <c r="Y98" s="24">
        <v>0</v>
      </c>
      <c r="Z98" s="30"/>
      <c r="AA98" s="24">
        <v>0</v>
      </c>
      <c r="AB98" s="30"/>
      <c r="AC98" s="40">
        <f t="shared" si="2"/>
        <v>33095353</v>
      </c>
      <c r="AD98" s="41"/>
      <c r="AE98" s="24">
        <v>2300696</v>
      </c>
      <c r="AG98" s="24">
        <v>17526920</v>
      </c>
      <c r="AI98" s="24">
        <v>0</v>
      </c>
      <c r="AK98" s="32">
        <f>+GenRev!Q98-GenExp!AC98-AE98+GenRev!S98+AG98+AI98-'Gen Fd BS'!O98</f>
        <v>0</v>
      </c>
    </row>
    <row r="99" spans="1:37" s="32" customFormat="1" ht="12.75" customHeight="1" hidden="1">
      <c r="A99" s="23" t="s">
        <v>175</v>
      </c>
      <c r="B99" s="23"/>
      <c r="C99" s="24">
        <v>0</v>
      </c>
      <c r="D99" s="68"/>
      <c r="E99" s="24">
        <v>0</v>
      </c>
      <c r="F99" s="68"/>
      <c r="G99" s="24">
        <v>0</v>
      </c>
      <c r="H99" s="68"/>
      <c r="I99" s="24">
        <v>0</v>
      </c>
      <c r="J99" s="68"/>
      <c r="K99" s="24">
        <v>0</v>
      </c>
      <c r="L99" s="68"/>
      <c r="M99" s="24">
        <v>0</v>
      </c>
      <c r="N99" s="68"/>
      <c r="O99" s="24">
        <v>0</v>
      </c>
      <c r="P99" s="68"/>
      <c r="Q99" s="24">
        <v>0</v>
      </c>
      <c r="R99" s="68"/>
      <c r="S99" s="24">
        <v>0</v>
      </c>
      <c r="T99" s="68"/>
      <c r="U99" s="24">
        <v>0</v>
      </c>
      <c r="V99" s="68"/>
      <c r="W99" s="24">
        <v>0</v>
      </c>
      <c r="X99" s="68"/>
      <c r="Y99" s="24">
        <v>0</v>
      </c>
      <c r="Z99" s="68"/>
      <c r="AA99" s="24">
        <v>0</v>
      </c>
      <c r="AB99" s="68"/>
      <c r="AC99" s="40">
        <f>SUM(C99:AA99)</f>
        <v>0</v>
      </c>
      <c r="AD99" s="41"/>
      <c r="AE99" s="24">
        <v>0</v>
      </c>
      <c r="AG99" s="24">
        <v>0</v>
      </c>
      <c r="AI99" s="24">
        <v>0</v>
      </c>
      <c r="AK99" s="32">
        <f>+GenRev!Q99-GenExp!AC99-AE99+GenRev!S99+AG99+AI99-'Gen Fd BS'!O99</f>
        <v>0</v>
      </c>
    </row>
    <row r="100" spans="1:31" s="32" customFormat="1" ht="12.75" customHeight="1">
      <c r="A100" s="23"/>
      <c r="B100" s="2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23"/>
    </row>
    <row r="101" spans="1:31" s="32" customFormat="1" ht="12.75" customHeight="1">
      <c r="A101" s="23"/>
      <c r="B101" s="23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23"/>
    </row>
    <row r="102" spans="1:31" s="32" customFormat="1" ht="12.75" customHeight="1">
      <c r="A102" s="23"/>
      <c r="B102" s="23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23"/>
    </row>
    <row r="103" spans="1:31" s="32" customFormat="1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s="32" customFormat="1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s="32" customFormat="1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s="32" customFormat="1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="32" customFormat="1" ht="12.75" customHeight="1"/>
    <row r="108" s="32" customFormat="1" ht="12.75" customHeight="1"/>
    <row r="109" s="32" customFormat="1" ht="12.75" customHeight="1"/>
    <row r="110" s="32" customFormat="1" ht="12.75" customHeight="1"/>
    <row r="111" s="32" customFormat="1" ht="12.75" customHeight="1"/>
    <row r="112" s="32" customFormat="1" ht="12.75" customHeight="1"/>
    <row r="113" s="32" customFormat="1" ht="12.75" customHeight="1"/>
    <row r="114" s="32" customFormat="1" ht="12.75" customHeight="1"/>
    <row r="115" s="32" customFormat="1" ht="12.75" customHeight="1"/>
    <row r="116" s="32" customFormat="1" ht="12.75" customHeight="1"/>
    <row r="117" s="32" customFormat="1" ht="12.75" customHeight="1"/>
    <row r="118" s="32" customFormat="1" ht="12.75" customHeight="1"/>
    <row r="119" s="32" customFormat="1" ht="12.75" customHeight="1"/>
    <row r="120" s="32" customFormat="1" ht="12.75" customHeight="1"/>
    <row r="121" s="32" customFormat="1" ht="12.75" customHeight="1"/>
    <row r="122" s="32" customFormat="1" ht="12.75" customHeight="1"/>
    <row r="123" s="32" customFormat="1" ht="12.75" customHeight="1"/>
    <row r="124" s="32" customFormat="1" ht="12.75" customHeight="1"/>
    <row r="125" s="32" customFormat="1" ht="12.75" customHeight="1"/>
    <row r="126" s="32" customFormat="1" ht="12.75" customHeight="1"/>
    <row r="127" s="32" customFormat="1" ht="12.75" customHeight="1"/>
    <row r="128" s="32" customFormat="1" ht="12.75" customHeight="1"/>
    <row r="129" s="32" customFormat="1" ht="12.75" customHeight="1"/>
    <row r="130" s="32" customFormat="1" ht="12.75" customHeight="1"/>
    <row r="131" s="32" customFormat="1" ht="12.75" customHeight="1"/>
    <row r="132" s="32" customFormat="1" ht="12.75" customHeight="1"/>
    <row r="133" s="32" customFormat="1" ht="12.75" customHeight="1"/>
    <row r="134" s="32" customFormat="1" ht="12.75" customHeight="1"/>
    <row r="135" s="32" customFormat="1" ht="12.75" customHeight="1"/>
    <row r="136" s="32" customFormat="1" ht="12.75" customHeight="1"/>
    <row r="137" s="32" customFormat="1" ht="12.75" customHeight="1"/>
    <row r="138" s="32" customFormat="1" ht="12.75" customHeight="1"/>
    <row r="139" s="32" customFormat="1" ht="12.75" customHeight="1"/>
    <row r="140" s="32" customFormat="1" ht="12.75" customHeight="1"/>
    <row r="141" s="32" customFormat="1" ht="12.75" customHeight="1"/>
    <row r="142" s="32" customFormat="1" ht="12.75" customHeight="1"/>
    <row r="143" s="32" customFormat="1" ht="12.75" customHeight="1"/>
    <row r="144" s="32" customFormat="1" ht="12.75" customHeight="1"/>
    <row r="145" s="32" customFormat="1" ht="12.75" customHeight="1"/>
    <row r="146" s="32" customFormat="1" ht="12.75" customHeight="1"/>
    <row r="147" s="32" customFormat="1" ht="12.75" customHeight="1"/>
    <row r="148" s="32" customFormat="1" ht="12.75" customHeight="1"/>
    <row r="149" s="32" customFormat="1" ht="12.75" customHeight="1"/>
    <row r="150" s="32" customFormat="1" ht="12.75" customHeight="1"/>
    <row r="151" s="32" customFormat="1" ht="12.75" customHeight="1"/>
    <row r="152" s="32" customFormat="1" ht="12.75" customHeight="1"/>
    <row r="153" s="32" customFormat="1" ht="12.75" customHeight="1"/>
    <row r="154" s="32" customFormat="1" ht="12.75" customHeight="1"/>
    <row r="155" s="32" customFormat="1" ht="12.75" customHeight="1"/>
    <row r="156" s="32" customFormat="1" ht="12.75" customHeight="1"/>
    <row r="157" s="32" customFormat="1" ht="12.75" customHeight="1"/>
    <row r="158" s="32" customFormat="1" ht="12.75" customHeight="1"/>
    <row r="159" s="32" customFormat="1" ht="12.75" customHeight="1"/>
    <row r="160" s="32" customFormat="1" ht="12.75" customHeight="1"/>
    <row r="161" s="32" customFormat="1" ht="12.75" customHeight="1"/>
    <row r="162" s="32" customFormat="1" ht="12.75" customHeight="1"/>
    <row r="163" s="32" customFormat="1" ht="12.75" customHeight="1"/>
    <row r="164" s="32" customFormat="1" ht="12.75" customHeight="1"/>
    <row r="165" s="32" customFormat="1" ht="12.75" customHeight="1"/>
    <row r="166" s="32" customFormat="1" ht="12.75" customHeight="1"/>
    <row r="167" s="32" customFormat="1" ht="12.75" customHeight="1"/>
    <row r="168" s="32" customFormat="1" ht="12.75" customHeight="1"/>
    <row r="169" s="32" customFormat="1" ht="12.75" customHeight="1"/>
    <row r="170" s="32" customFormat="1" ht="12.75" customHeight="1"/>
    <row r="171" s="32" customFormat="1" ht="12.75" customHeight="1"/>
    <row r="172" s="32" customFormat="1" ht="12.75" customHeight="1"/>
    <row r="173" s="32" customFormat="1" ht="12.75" customHeight="1"/>
    <row r="174" s="32" customFormat="1" ht="12.75" customHeight="1"/>
    <row r="175" s="32" customFormat="1" ht="12.75" customHeight="1"/>
    <row r="176" s="32" customFormat="1" ht="12.75" customHeight="1"/>
    <row r="177" s="32" customFormat="1" ht="12" customHeight="1"/>
    <row r="178" s="32" customFormat="1" ht="12" customHeight="1"/>
    <row r="179" s="32" customFormat="1" ht="12" customHeight="1"/>
    <row r="180" s="32" customFormat="1" ht="12" customHeight="1"/>
    <row r="181" s="32" customFormat="1" ht="12" customHeight="1"/>
    <row r="182" s="32" customFormat="1" ht="12" customHeight="1"/>
    <row r="183" s="32" customFormat="1" ht="12" customHeight="1"/>
    <row r="184" s="32" customFormat="1" ht="12" customHeight="1"/>
    <row r="185" s="32" customFormat="1" ht="12" customHeight="1"/>
    <row r="186" s="32" customFormat="1" ht="12" customHeight="1"/>
    <row r="187" s="32" customFormat="1" ht="12" customHeight="1"/>
    <row r="188" s="32" customFormat="1" ht="12" customHeight="1"/>
    <row r="189" s="32" customFormat="1" ht="12" customHeight="1"/>
    <row r="190" s="32" customFormat="1" ht="12" customHeight="1"/>
    <row r="191" s="32" customFormat="1" ht="12" customHeight="1"/>
    <row r="192" s="32" customFormat="1" ht="12" customHeight="1"/>
    <row r="193" s="32" customFormat="1" ht="12" customHeight="1"/>
    <row r="194" s="32" customFormat="1" ht="12" customHeight="1"/>
    <row r="195" s="32" customFormat="1" ht="12" customHeight="1"/>
    <row r="196" s="32" customFormat="1" ht="12" customHeight="1"/>
    <row r="197" s="32" customFormat="1" ht="12" customHeight="1"/>
    <row r="198" s="32" customFormat="1" ht="12" customHeight="1"/>
    <row r="199" s="32" customFormat="1" ht="12" customHeight="1"/>
    <row r="200" s="32" customFormat="1" ht="12" customHeight="1"/>
    <row r="201" s="32" customFormat="1" ht="12" customHeight="1"/>
    <row r="202" s="32" customFormat="1" ht="12" customHeight="1"/>
    <row r="203" s="32" customFormat="1" ht="12" customHeight="1"/>
    <row r="204" s="32" customFormat="1" ht="12" customHeight="1"/>
    <row r="205" s="32" customFormat="1" ht="12" customHeight="1"/>
    <row r="206" s="32" customFormat="1" ht="12" customHeight="1"/>
    <row r="207" s="34" customFormat="1" ht="12" customHeight="1"/>
    <row r="208" s="34" customFormat="1" ht="12" customHeight="1"/>
    <row r="209" s="34" customFormat="1" ht="12" customHeight="1"/>
    <row r="210" s="34" customFormat="1" ht="12" customHeight="1"/>
    <row r="211" s="34" customFormat="1" ht="12" customHeight="1"/>
    <row r="212" s="34" customFormat="1" ht="12" customHeight="1"/>
    <row r="213" s="34" customFormat="1" ht="12" customHeight="1"/>
    <row r="214" s="34" customFormat="1" ht="12" customHeight="1"/>
    <row r="215" s="34" customFormat="1" ht="12" customHeight="1"/>
    <row r="216" s="34" customFormat="1" ht="12" customHeight="1"/>
    <row r="217" s="34" customFormat="1" ht="12" customHeight="1"/>
    <row r="218" s="34" customFormat="1" ht="12" customHeight="1"/>
    <row r="219" s="34" customFormat="1" ht="12" customHeight="1"/>
    <row r="220" s="34" customFormat="1" ht="12" customHeight="1"/>
    <row r="221" s="34" customFormat="1" ht="12" customHeight="1"/>
    <row r="222" s="34" customFormat="1" ht="12" customHeight="1"/>
    <row r="223" s="34" customFormat="1" ht="12" customHeight="1"/>
    <row r="224" s="34" customFormat="1" ht="12" customHeight="1"/>
    <row r="225" s="34" customFormat="1" ht="12" customHeight="1"/>
    <row r="226" s="34" customFormat="1" ht="12" customHeight="1"/>
    <row r="227" s="34" customFormat="1" ht="12" customHeight="1"/>
    <row r="228" s="34" customFormat="1" ht="12" customHeight="1"/>
    <row r="229" s="34" customFormat="1" ht="12" customHeight="1"/>
    <row r="230" s="34" customFormat="1" ht="12" customHeight="1"/>
    <row r="231" s="34" customFormat="1" ht="12" customHeight="1"/>
    <row r="232" s="34" customFormat="1" ht="12" customHeight="1"/>
    <row r="233" s="34" customFormat="1" ht="12" customHeight="1"/>
    <row r="234" s="34" customFormat="1" ht="12" customHeight="1"/>
    <row r="235" s="34" customFormat="1" ht="12" customHeight="1"/>
    <row r="236" s="34" customFormat="1" ht="12" customHeight="1"/>
    <row r="237" s="34" customFormat="1" ht="12" customHeight="1"/>
    <row r="238" s="34" customFormat="1" ht="12" customHeight="1"/>
    <row r="239" s="34" customFormat="1" ht="12" customHeight="1"/>
    <row r="240" s="34" customFormat="1" ht="12" customHeight="1"/>
    <row r="241" s="34" customFormat="1" ht="12" customHeight="1"/>
    <row r="242" s="34" customFormat="1" ht="12" customHeight="1"/>
    <row r="243" s="34" customFormat="1" ht="12" customHeight="1"/>
    <row r="244" s="34" customFormat="1" ht="12" customHeight="1"/>
    <row r="245" s="34" customFormat="1" ht="12" customHeight="1"/>
    <row r="246" s="34" customFormat="1" ht="12" customHeight="1"/>
    <row r="247" s="34" customFormat="1" ht="12" customHeight="1"/>
    <row r="248" s="34" customFormat="1" ht="12" customHeight="1"/>
    <row r="249" s="34" customFormat="1" ht="12" customHeight="1"/>
    <row r="250" s="34" customFormat="1" ht="12" customHeight="1"/>
    <row r="251" s="34" customFormat="1" ht="12" customHeight="1"/>
    <row r="252" s="34" customFormat="1" ht="12" customHeight="1"/>
    <row r="253" s="34" customFormat="1" ht="12" customHeight="1"/>
    <row r="254" s="34" customFormat="1" ht="12" customHeight="1"/>
    <row r="255" s="34" customFormat="1" ht="12" customHeight="1"/>
    <row r="256" s="34" customFormat="1" ht="12" customHeight="1"/>
    <row r="257" s="34" customFormat="1" ht="12" customHeight="1"/>
    <row r="258" s="34" customFormat="1" ht="12" customHeight="1"/>
    <row r="259" s="34" customFormat="1" ht="12" customHeight="1"/>
    <row r="260" s="34" customFormat="1" ht="12" customHeight="1"/>
    <row r="261" s="34" customFormat="1" ht="12" customHeight="1"/>
    <row r="262" s="34" customFormat="1" ht="12" customHeight="1"/>
    <row r="263" s="34" customFormat="1" ht="12" customHeight="1"/>
    <row r="264" s="34" customFormat="1" ht="12" customHeight="1"/>
    <row r="265" s="34" customFormat="1" ht="12" customHeight="1"/>
    <row r="266" s="34" customFormat="1" ht="12" customHeight="1"/>
    <row r="267" s="34" customFormat="1" ht="12" customHeight="1"/>
    <row r="268" s="34" customFormat="1" ht="12" customHeight="1"/>
    <row r="269" s="34" customFormat="1" ht="12" customHeight="1"/>
    <row r="270" s="34" customFormat="1" ht="12" customHeight="1"/>
    <row r="271" s="34" customFormat="1" ht="12" customHeight="1"/>
    <row r="272" s="34" customFormat="1" ht="12" customHeight="1"/>
    <row r="273" s="34" customFormat="1" ht="12" customHeight="1"/>
    <row r="274" s="34" customFormat="1" ht="12" customHeight="1"/>
    <row r="275" s="34" customFormat="1" ht="12" customHeight="1"/>
    <row r="276" s="34" customFormat="1" ht="12" customHeight="1"/>
    <row r="277" s="34" customFormat="1" ht="12" customHeight="1"/>
    <row r="278" s="34" customFormat="1" ht="12" customHeight="1"/>
    <row r="279" s="34" customFormat="1" ht="12" customHeight="1"/>
    <row r="280" s="34" customFormat="1" ht="12" customHeight="1"/>
    <row r="281" s="34" customFormat="1" ht="12" customHeight="1"/>
    <row r="282" s="34" customFormat="1" ht="12" customHeight="1"/>
    <row r="283" s="34" customFormat="1" ht="12" customHeight="1"/>
    <row r="284" s="34" customFormat="1" ht="12" customHeight="1"/>
    <row r="285" s="34" customFormat="1" ht="12" customHeight="1"/>
    <row r="286" s="34" customFormat="1" ht="12" customHeight="1"/>
    <row r="287" s="34" customFormat="1" ht="12" customHeight="1"/>
    <row r="288" s="34" customFormat="1" ht="12" customHeight="1"/>
    <row r="289" s="34" customFormat="1" ht="12" customHeight="1"/>
    <row r="290" s="34" customFormat="1" ht="12" customHeight="1"/>
    <row r="291" s="34" customFormat="1" ht="12" customHeight="1"/>
    <row r="292" s="34" customFormat="1" ht="12" customHeight="1"/>
    <row r="293" s="34" customFormat="1" ht="12" customHeight="1"/>
    <row r="294" s="34" customFormat="1" ht="12" customHeight="1"/>
    <row r="295" s="34" customFormat="1" ht="12" customHeight="1"/>
    <row r="296" s="34" customFormat="1" ht="12" customHeight="1"/>
    <row r="297" s="34" customFormat="1" ht="12" customHeight="1"/>
    <row r="298" s="34" customFormat="1" ht="12" customHeight="1"/>
    <row r="299" s="34" customFormat="1" ht="12" customHeight="1"/>
    <row r="300" s="34" customFormat="1" ht="12" customHeight="1"/>
    <row r="301" s="34" customFormat="1" ht="12" customHeight="1"/>
    <row r="302" s="34" customFormat="1" ht="12" customHeight="1"/>
    <row r="303" s="34" customFormat="1" ht="12" customHeight="1"/>
    <row r="304" s="34" customFormat="1" ht="12" customHeight="1"/>
    <row r="305" s="34" customFormat="1" ht="12" customHeight="1"/>
    <row r="306" s="34" customFormat="1" ht="12" customHeight="1"/>
    <row r="307" s="34" customFormat="1" ht="12" customHeight="1"/>
    <row r="308" s="34" customFormat="1" ht="12" customHeight="1"/>
    <row r="309" s="34" customFormat="1" ht="12" customHeight="1"/>
    <row r="310" s="34" customFormat="1" ht="12" customHeight="1"/>
    <row r="311" s="34" customFormat="1" ht="12" customHeight="1"/>
    <row r="312" s="34" customFormat="1" ht="12" customHeight="1"/>
    <row r="313" s="34" customFormat="1" ht="12" customHeight="1"/>
    <row r="314" s="34" customFormat="1" ht="12" customHeight="1"/>
    <row r="315" s="34" customFormat="1" ht="12" customHeight="1"/>
    <row r="316" s="34" customFormat="1" ht="12" customHeight="1"/>
    <row r="317" s="34" customFormat="1" ht="12" customHeight="1"/>
    <row r="318" s="34" customFormat="1" ht="12" customHeight="1"/>
    <row r="319" s="34" customFormat="1" ht="12" customHeight="1"/>
    <row r="320" s="34" customFormat="1" ht="12" customHeight="1"/>
    <row r="321" s="34" customFormat="1" ht="12" customHeight="1"/>
    <row r="322" s="34" customFormat="1" ht="12" customHeight="1"/>
    <row r="323" s="34" customFormat="1" ht="12" customHeight="1"/>
    <row r="324" s="34" customFormat="1" ht="12" customHeight="1"/>
    <row r="325" s="34" customFormat="1" ht="12" customHeight="1"/>
    <row r="326" s="34" customFormat="1" ht="12" customHeight="1"/>
    <row r="327" s="34" customFormat="1" ht="12" customHeight="1"/>
    <row r="328" s="34" customFormat="1" ht="12" customHeight="1"/>
    <row r="329" s="34" customFormat="1" ht="12" customHeight="1"/>
    <row r="330" s="34" customFormat="1" ht="12" customHeight="1"/>
    <row r="331" s="34" customFormat="1" ht="12" customHeight="1"/>
    <row r="332" s="34" customFormat="1" ht="12" customHeight="1"/>
    <row r="333" s="34" customFormat="1" ht="12" customHeight="1"/>
    <row r="334" s="34" customFormat="1" ht="12" customHeight="1"/>
    <row r="335" s="34" customFormat="1" ht="12" customHeight="1"/>
    <row r="336" s="34" customFormat="1" ht="12" customHeight="1"/>
    <row r="337" s="34" customFormat="1" ht="12" customHeight="1"/>
    <row r="338" s="34" customFormat="1" ht="12" customHeight="1"/>
    <row r="339" s="34" customFormat="1" ht="12" customHeight="1"/>
    <row r="340" s="34" customFormat="1" ht="12" customHeight="1"/>
    <row r="341" s="34" customFormat="1" ht="12" customHeight="1"/>
    <row r="342" s="34" customFormat="1" ht="12" customHeight="1"/>
    <row r="343" s="34" customFormat="1" ht="12" customHeight="1"/>
    <row r="344" s="34" customFormat="1" ht="12" customHeight="1"/>
    <row r="345" s="34" customFormat="1" ht="12" customHeight="1"/>
    <row r="346" s="34" customFormat="1" ht="12" customHeight="1"/>
    <row r="347" s="34" customFormat="1" ht="12" customHeight="1"/>
    <row r="348" s="34" customFormat="1" ht="12" customHeight="1"/>
    <row r="349" s="34" customFormat="1" ht="12" customHeight="1"/>
    <row r="350" s="34" customFormat="1" ht="12" customHeight="1"/>
    <row r="351" s="34" customFormat="1" ht="12" customHeight="1"/>
    <row r="352" s="34" customFormat="1" ht="12" customHeight="1"/>
    <row r="353" s="34" customFormat="1" ht="12" customHeight="1"/>
    <row r="354" s="34" customFormat="1" ht="12" customHeight="1"/>
    <row r="355" s="34" customFormat="1" ht="12" customHeight="1"/>
    <row r="356" s="34" customFormat="1" ht="12" customHeight="1"/>
    <row r="357" s="34" customFormat="1" ht="12" customHeight="1"/>
    <row r="358" s="34" customFormat="1" ht="12" customHeight="1"/>
    <row r="359" s="34" customFormat="1" ht="12" customHeight="1"/>
    <row r="360" s="34" customFormat="1" ht="12" customHeight="1"/>
    <row r="361" s="34" customFormat="1" ht="12" customHeight="1"/>
    <row r="362" s="34" customFormat="1" ht="12" customHeight="1"/>
    <row r="363" s="34" customFormat="1" ht="12" customHeight="1"/>
    <row r="364" s="34" customFormat="1" ht="12" customHeight="1"/>
    <row r="365" s="34" customFormat="1" ht="12" customHeight="1"/>
    <row r="366" s="34" customFormat="1" ht="12" customHeight="1"/>
    <row r="367" s="34" customFormat="1" ht="12" customHeight="1"/>
    <row r="368" s="34" customFormat="1" ht="12" customHeight="1"/>
    <row r="369" s="34" customFormat="1" ht="12" customHeight="1"/>
    <row r="370" s="34" customFormat="1" ht="12" customHeight="1"/>
    <row r="371" s="34" customFormat="1" ht="12" customHeight="1"/>
    <row r="372" s="34" customFormat="1" ht="12" customHeight="1"/>
    <row r="373" s="34" customFormat="1" ht="12" customHeight="1"/>
    <row r="374" s="34" customFormat="1" ht="12" customHeight="1"/>
    <row r="375" s="34" customFormat="1" ht="12" customHeight="1"/>
    <row r="376" s="34" customFormat="1" ht="12" customHeight="1"/>
    <row r="377" s="34" customFormat="1" ht="12" customHeight="1"/>
    <row r="378" s="34" customFormat="1" ht="12" customHeight="1"/>
    <row r="379" s="34" customFormat="1" ht="12" customHeight="1"/>
    <row r="380" s="34" customFormat="1" ht="12" customHeight="1"/>
    <row r="381" s="34" customFormat="1" ht="12" customHeight="1"/>
    <row r="382" s="34" customFormat="1" ht="12" customHeight="1"/>
    <row r="383" s="34" customFormat="1" ht="12" customHeight="1"/>
    <row r="384" s="34" customFormat="1" ht="12" customHeight="1"/>
    <row r="385" s="34" customFormat="1" ht="12" customHeight="1"/>
    <row r="386" s="34" customFormat="1" ht="12" customHeight="1"/>
    <row r="387" s="34" customFormat="1" ht="12" customHeight="1"/>
    <row r="388" s="34" customFormat="1" ht="12" customHeight="1"/>
    <row r="389" s="34" customFormat="1" ht="12" customHeight="1"/>
    <row r="390" s="34" customFormat="1" ht="12" customHeight="1"/>
    <row r="391" s="34" customFormat="1" ht="12" customHeight="1"/>
    <row r="392" s="34" customFormat="1" ht="12" customHeight="1"/>
    <row r="393" s="34" customFormat="1" ht="12" customHeight="1"/>
    <row r="394" s="34" customFormat="1" ht="12" customHeight="1"/>
    <row r="395" s="34" customFormat="1" ht="12" customHeight="1"/>
    <row r="396" s="34" customFormat="1" ht="12" customHeight="1"/>
    <row r="397" s="34" customFormat="1" ht="12" customHeight="1"/>
    <row r="398" s="34" customFormat="1" ht="12" customHeight="1"/>
    <row r="399" s="34" customFormat="1" ht="12" customHeight="1"/>
    <row r="400" s="34" customFormat="1" ht="12" customHeight="1"/>
    <row r="401" s="34" customFormat="1" ht="12" customHeight="1"/>
    <row r="402" s="34" customFormat="1" ht="12" customHeight="1"/>
    <row r="403" s="34" customFormat="1" ht="12" customHeight="1"/>
    <row r="404" s="34" customFormat="1" ht="12" customHeight="1"/>
    <row r="405" s="34" customFormat="1" ht="12" customHeight="1"/>
    <row r="406" s="34" customFormat="1" ht="12" customHeight="1"/>
    <row r="407" s="34" customFormat="1" ht="12" customHeight="1"/>
    <row r="408" s="34" customFormat="1" ht="12" customHeight="1"/>
    <row r="409" s="34" customFormat="1" ht="12" customHeight="1"/>
    <row r="410" s="34" customFormat="1" ht="12" customHeight="1"/>
    <row r="411" s="34" customFormat="1" ht="12" customHeight="1"/>
    <row r="412" s="34" customFormat="1" ht="12" customHeight="1"/>
    <row r="413" s="34" customFormat="1" ht="12" customHeight="1"/>
    <row r="414" s="34" customFormat="1" ht="12" customHeight="1"/>
    <row r="415" s="34" customFormat="1" ht="12" customHeight="1"/>
    <row r="416" s="34" customFormat="1" ht="12" customHeight="1"/>
    <row r="417" s="34" customFormat="1" ht="12" customHeight="1"/>
    <row r="418" s="34" customFormat="1" ht="12" customHeight="1"/>
    <row r="419" s="34" customFormat="1" ht="12" customHeight="1"/>
    <row r="420" s="34" customFormat="1" ht="12" customHeight="1"/>
    <row r="421" s="34" customFormat="1" ht="12" customHeight="1"/>
    <row r="422" s="34" customFormat="1" ht="12" customHeight="1"/>
    <row r="423" s="34" customFormat="1" ht="12" customHeight="1"/>
    <row r="424" s="34" customFormat="1" ht="12" customHeight="1"/>
    <row r="425" s="34" customFormat="1" ht="12" customHeight="1"/>
    <row r="426" s="34" customFormat="1" ht="12" customHeight="1"/>
    <row r="427" s="34" customFormat="1" ht="12" customHeight="1"/>
    <row r="428" s="34" customFormat="1" ht="12" customHeight="1"/>
    <row r="429" s="34" customFormat="1" ht="12" customHeight="1"/>
    <row r="430" s="34" customFormat="1" ht="12" customHeight="1"/>
    <row r="431" s="34" customFormat="1" ht="12" customHeight="1"/>
    <row r="432" s="34" customFormat="1" ht="12" customHeight="1"/>
    <row r="433" s="34" customFormat="1" ht="12" customHeight="1"/>
    <row r="434" s="34" customFormat="1" ht="12" customHeight="1"/>
    <row r="435" s="34" customFormat="1" ht="12" customHeight="1"/>
    <row r="436" s="34" customFormat="1" ht="12" customHeight="1"/>
    <row r="437" s="34" customFormat="1" ht="12" customHeight="1"/>
    <row r="438" s="34" customFormat="1" ht="12" customHeight="1"/>
    <row r="439" s="34" customFormat="1" ht="12" customHeight="1"/>
    <row r="440" s="34" customFormat="1" ht="12" customHeight="1"/>
    <row r="441" s="34" customFormat="1" ht="12" customHeight="1"/>
    <row r="442" s="34" customFormat="1" ht="12" customHeight="1"/>
    <row r="443" s="34" customFormat="1" ht="12" customHeight="1"/>
    <row r="444" s="34" customFormat="1" ht="12" customHeight="1"/>
    <row r="445" s="34" customFormat="1" ht="12" customHeight="1"/>
    <row r="446" s="34" customFormat="1" ht="12" customHeight="1"/>
    <row r="447" s="34" customFormat="1" ht="12" customHeight="1"/>
    <row r="448" s="34" customFormat="1" ht="12" customHeight="1"/>
    <row r="449" s="34" customFormat="1" ht="12" customHeight="1"/>
    <row r="450" s="34" customFormat="1" ht="12" customHeight="1"/>
    <row r="451" s="34" customFormat="1" ht="12" customHeight="1"/>
    <row r="452" s="34" customFormat="1" ht="12" customHeight="1"/>
    <row r="453" s="34" customFormat="1" ht="12" customHeight="1"/>
    <row r="454" s="34" customFormat="1" ht="12" customHeight="1"/>
    <row r="455" s="34" customFormat="1" ht="12" customHeight="1"/>
    <row r="456" s="34" customFormat="1" ht="12" customHeight="1"/>
    <row r="457" s="34" customFormat="1" ht="12" customHeight="1"/>
    <row r="458" s="34" customFormat="1" ht="12" customHeight="1"/>
    <row r="459" s="34" customFormat="1" ht="12" customHeight="1"/>
    <row r="460" s="34" customFormat="1" ht="12" customHeight="1"/>
    <row r="461" s="34" customFormat="1" ht="12" customHeight="1"/>
    <row r="462" s="34" customFormat="1" ht="12" customHeight="1"/>
    <row r="463" s="34" customFormat="1" ht="12" customHeight="1"/>
    <row r="464" s="34" customFormat="1" ht="12" customHeight="1"/>
    <row r="465" s="34" customFormat="1" ht="12" customHeight="1"/>
    <row r="466" s="34" customFormat="1" ht="12" customHeight="1"/>
    <row r="467" s="34" customFormat="1" ht="12" customHeight="1"/>
    <row r="468" s="34" customFormat="1" ht="12" customHeight="1"/>
    <row r="469" s="34" customFormat="1" ht="12" customHeight="1"/>
    <row r="470" s="34" customFormat="1" ht="12" customHeight="1"/>
    <row r="471" s="34" customFormat="1" ht="12" customHeight="1"/>
    <row r="472" s="34" customFormat="1" ht="12" customHeight="1"/>
    <row r="473" s="34" customFormat="1" ht="12" customHeight="1"/>
    <row r="474" s="34" customFormat="1" ht="12" customHeight="1"/>
    <row r="475" s="34" customFormat="1" ht="12" customHeight="1"/>
    <row r="476" s="34" customFormat="1" ht="12" customHeight="1"/>
    <row r="477" s="34" customFormat="1" ht="12" customHeight="1"/>
    <row r="478" s="34" customFormat="1" ht="12" customHeight="1"/>
    <row r="479" s="34" customFormat="1" ht="12" customHeight="1"/>
    <row r="480" s="34" customFormat="1" ht="12" customHeight="1"/>
    <row r="481" s="34" customFormat="1" ht="12" customHeight="1"/>
    <row r="482" s="34" customFormat="1" ht="12" customHeight="1"/>
    <row r="483" s="34" customFormat="1" ht="12" customHeight="1"/>
    <row r="484" s="34" customFormat="1" ht="12" customHeight="1"/>
    <row r="485" s="34" customFormat="1" ht="12" customHeight="1"/>
    <row r="486" s="34" customFormat="1" ht="12" customHeight="1"/>
    <row r="487" s="34" customFormat="1" ht="12" customHeight="1"/>
    <row r="488" s="34" customFormat="1" ht="12" customHeight="1"/>
    <row r="489" s="34" customFormat="1" ht="12" customHeight="1"/>
    <row r="490" s="34" customFormat="1" ht="12" customHeight="1"/>
    <row r="491" s="34" customFormat="1" ht="12" customHeight="1"/>
    <row r="492" s="34" customFormat="1" ht="12" customHeight="1"/>
    <row r="493" s="34" customFormat="1" ht="12" customHeight="1"/>
    <row r="494" s="34" customFormat="1" ht="12" customHeight="1"/>
    <row r="495" s="34" customFormat="1" ht="12" customHeight="1"/>
    <row r="496" s="34" customFormat="1" ht="12" customHeight="1"/>
    <row r="497" s="34" customFormat="1" ht="12" customHeight="1"/>
    <row r="498" s="34" customFormat="1" ht="12" customHeight="1"/>
    <row r="499" s="34" customFormat="1" ht="12" customHeight="1"/>
    <row r="500" s="34" customFormat="1" ht="12" customHeight="1"/>
    <row r="501" s="34" customFormat="1" ht="12" customHeight="1"/>
    <row r="502" s="34" customFormat="1" ht="12" customHeight="1"/>
    <row r="503" s="34" customFormat="1" ht="12" customHeight="1"/>
    <row r="504" s="34" customFormat="1" ht="12" customHeight="1"/>
    <row r="505" s="34" customFormat="1" ht="12" customHeight="1"/>
    <row r="506" s="34" customFormat="1" ht="12" customHeight="1"/>
    <row r="507" s="34" customFormat="1" ht="12" customHeight="1"/>
    <row r="508" s="34" customFormat="1" ht="12" customHeight="1"/>
    <row r="509" s="34" customFormat="1" ht="12" customHeight="1"/>
    <row r="510" s="34" customFormat="1" ht="12" customHeight="1"/>
    <row r="511" s="34" customFormat="1" ht="12" customHeight="1"/>
    <row r="512" s="34" customFormat="1" ht="12" customHeight="1"/>
    <row r="513" s="34" customFormat="1" ht="12" customHeight="1"/>
    <row r="514" s="34" customFormat="1" ht="12" customHeight="1"/>
    <row r="515" s="34" customFormat="1" ht="12" customHeight="1"/>
    <row r="516" s="34" customFormat="1" ht="12" customHeight="1"/>
    <row r="517" s="34" customFormat="1" ht="12" customHeight="1"/>
    <row r="518" s="34" customFormat="1" ht="12" customHeight="1"/>
    <row r="519" s="34" customFormat="1" ht="12" customHeight="1"/>
    <row r="520" s="34" customFormat="1" ht="12" customHeight="1"/>
    <row r="521" s="34" customFormat="1" ht="12" customHeight="1"/>
    <row r="522" s="34" customFormat="1" ht="12" customHeight="1"/>
    <row r="523" s="34" customFormat="1" ht="12" customHeight="1"/>
    <row r="524" s="34" customFormat="1" ht="12" customHeight="1"/>
    <row r="525" s="34" customFormat="1" ht="12" customHeight="1"/>
    <row r="526" s="34" customFormat="1" ht="12" customHeight="1"/>
    <row r="527" s="34" customFormat="1" ht="12" customHeight="1"/>
    <row r="528" s="34" customFormat="1" ht="12" customHeight="1"/>
    <row r="529" s="34" customFormat="1" ht="12" customHeight="1"/>
    <row r="530" s="34" customFormat="1" ht="12" customHeight="1"/>
    <row r="531" s="34" customFormat="1" ht="12" customHeight="1"/>
    <row r="532" s="34" customFormat="1" ht="12" customHeight="1"/>
    <row r="533" s="34" customFormat="1" ht="12" customHeight="1"/>
    <row r="534" s="34" customFormat="1" ht="12" customHeight="1"/>
    <row r="535" s="34" customFormat="1" ht="12" customHeight="1"/>
    <row r="536" s="34" customFormat="1" ht="12" customHeight="1"/>
    <row r="537" s="34" customFormat="1" ht="12" customHeight="1"/>
    <row r="538" s="34" customFormat="1" ht="12" customHeight="1"/>
    <row r="539" s="34" customFormat="1" ht="12" customHeight="1"/>
    <row r="540" s="34" customFormat="1" ht="12" customHeight="1"/>
    <row r="541" s="34" customFormat="1" ht="12" customHeight="1"/>
    <row r="542" s="34" customFormat="1" ht="12" customHeight="1"/>
    <row r="543" s="34" customFormat="1" ht="12" customHeight="1"/>
    <row r="544" s="34" customFormat="1" ht="12" customHeight="1"/>
    <row r="545" s="34" customFormat="1" ht="12" customHeight="1"/>
    <row r="546" s="34" customFormat="1" ht="12" customHeight="1"/>
    <row r="547" s="34" customFormat="1" ht="12" customHeight="1"/>
    <row r="548" s="34" customFormat="1" ht="12" customHeight="1"/>
    <row r="549" s="34" customFormat="1" ht="12" customHeight="1"/>
    <row r="550" s="34" customFormat="1" ht="12" customHeight="1"/>
    <row r="551" s="34" customFormat="1" ht="12" customHeight="1"/>
    <row r="552" s="34" customFormat="1" ht="12" customHeight="1"/>
    <row r="553" s="34" customFormat="1" ht="12" customHeight="1"/>
    <row r="554" s="34" customFormat="1" ht="12" customHeight="1"/>
    <row r="555" s="34" customFormat="1" ht="12" customHeight="1"/>
    <row r="556" s="34" customFormat="1" ht="12" customHeight="1"/>
    <row r="557" s="34" customFormat="1" ht="12" customHeight="1"/>
    <row r="558" s="34" customFormat="1" ht="12" customHeight="1"/>
    <row r="559" s="34" customFormat="1" ht="12" customHeight="1"/>
    <row r="560" s="34" customFormat="1" ht="12" customHeight="1"/>
    <row r="561" s="34" customFormat="1" ht="12" customHeight="1"/>
    <row r="562" s="34" customFormat="1" ht="12" customHeight="1"/>
    <row r="563" s="34" customFormat="1" ht="12" customHeight="1"/>
    <row r="564" s="34" customFormat="1" ht="12" customHeight="1"/>
    <row r="565" s="34" customFormat="1" ht="12" customHeight="1"/>
    <row r="566" s="34" customFormat="1" ht="12" customHeight="1"/>
    <row r="567" s="34" customFormat="1" ht="12" customHeight="1"/>
    <row r="568" s="34" customFormat="1" ht="12" customHeight="1"/>
    <row r="569" s="34" customFormat="1" ht="12" customHeight="1"/>
    <row r="570" s="34" customFormat="1" ht="12" customHeight="1"/>
    <row r="571" s="34" customFormat="1" ht="12" customHeight="1"/>
    <row r="572" s="34" customFormat="1" ht="12" customHeight="1"/>
    <row r="573" s="34" customFormat="1" ht="12" customHeight="1"/>
    <row r="574" s="34" customFormat="1" ht="12" customHeight="1"/>
    <row r="575" s="34" customFormat="1" ht="12" customHeight="1"/>
    <row r="576" s="34" customFormat="1" ht="12" customHeight="1"/>
    <row r="577" s="34" customFormat="1" ht="12" customHeight="1"/>
    <row r="578" s="34" customFormat="1" ht="12" customHeight="1"/>
    <row r="579" s="34" customFormat="1" ht="12" customHeight="1"/>
    <row r="580" s="34" customFormat="1" ht="12" customHeight="1"/>
    <row r="581" s="34" customFormat="1" ht="12" customHeight="1"/>
    <row r="582" s="34" customFormat="1" ht="12" customHeight="1"/>
    <row r="583" s="34" customFormat="1" ht="12" customHeight="1"/>
    <row r="584" s="34" customFormat="1" ht="12" customHeight="1"/>
    <row r="585" s="34" customFormat="1" ht="12" customHeight="1"/>
    <row r="586" s="34" customFormat="1" ht="12" customHeight="1"/>
    <row r="587" s="34" customFormat="1" ht="12" customHeight="1"/>
    <row r="588" s="34" customFormat="1" ht="12" customHeight="1"/>
    <row r="589" s="34" customFormat="1" ht="12" customHeight="1"/>
    <row r="590" s="34" customFormat="1" ht="12" customHeight="1"/>
    <row r="591" s="34" customFormat="1" ht="12" customHeight="1"/>
    <row r="592" s="34" customFormat="1" ht="12" customHeight="1"/>
    <row r="593" s="34" customFormat="1" ht="12" customHeight="1"/>
    <row r="594" s="34" customFormat="1" ht="12" customHeight="1"/>
    <row r="595" s="34" customFormat="1" ht="12" customHeight="1"/>
    <row r="596" s="34" customFormat="1" ht="12" customHeight="1"/>
    <row r="597" s="34" customFormat="1" ht="12" customHeight="1"/>
    <row r="598" s="34" customFormat="1" ht="12" customHeight="1"/>
    <row r="599" s="34" customFormat="1" ht="12" customHeight="1"/>
    <row r="600" s="34" customFormat="1" ht="12" customHeight="1"/>
    <row r="601" s="34" customFormat="1" ht="12" customHeight="1"/>
    <row r="602" s="34" customFormat="1" ht="12" customHeight="1"/>
    <row r="603" s="34" customFormat="1" ht="12" customHeight="1"/>
    <row r="604" s="34" customFormat="1" ht="12" customHeight="1"/>
    <row r="605" s="34" customFormat="1" ht="12" customHeight="1"/>
  </sheetData>
  <sheetProtection/>
  <printOptions horizontalCentered="1"/>
  <pageMargins left="0.5" right="0.5" top="0.5" bottom="0.5" header="0" footer="0.25"/>
  <pageSetup firstPageNumber="28" useFirstPageNumber="1" fitToHeight="2" fitToWidth="2" horizontalDpi="600" verticalDpi="600" orientation="portrait" pageOrder="overThenDown" scale="90" r:id="rId1"/>
  <headerFooter scaleWithDoc="0" alignWithMargins="0">
    <oddFooter>&amp;C&amp;"Times New Roman,Regular"&amp;11&amp;P</oddFooter>
  </headerFooter>
  <rowBreaks count="1" manualBreakCount="1">
    <brk id="8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U109"/>
  <sheetViews>
    <sheetView zoomScale="130" zoomScaleNormal="130" zoomScalePageLayoutView="0" workbookViewId="0" topLeftCell="A1">
      <pane xSplit="1" ySplit="8" topLeftCell="B75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78" sqref="C78"/>
    </sheetView>
  </sheetViews>
  <sheetFormatPr defaultColWidth="9.140625" defaultRowHeight="12" customHeight="1"/>
  <cols>
    <col min="1" max="1" width="15.7109375" style="73" customWidth="1"/>
    <col min="2" max="2" width="1.7109375" style="73" customWidth="1"/>
    <col min="3" max="3" width="11.7109375" style="73" customWidth="1"/>
    <col min="4" max="4" width="1.7109375" style="73" customWidth="1"/>
    <col min="5" max="5" width="11.7109375" style="73" customWidth="1"/>
    <col min="6" max="6" width="1.7109375" style="73" customWidth="1"/>
    <col min="7" max="7" width="11.7109375" style="73" customWidth="1"/>
    <col min="8" max="8" width="1.7109375" style="73" customWidth="1"/>
    <col min="9" max="9" width="11.7109375" style="73" customWidth="1"/>
    <col min="10" max="10" width="1.7109375" style="73" customWidth="1"/>
    <col min="11" max="11" width="11.7109375" style="73" customWidth="1"/>
    <col min="12" max="12" width="1.7109375" style="73" customWidth="1"/>
    <col min="13" max="13" width="12.7109375" style="73" customWidth="1"/>
    <col min="14" max="14" width="1.7109375" style="73" customWidth="1"/>
    <col min="15" max="15" width="12.7109375" style="73" customWidth="1"/>
    <col min="16" max="16" width="1.7109375" style="73" customWidth="1"/>
    <col min="17" max="17" width="12.7109375" style="73" customWidth="1"/>
    <col min="18" max="18" width="10.140625" style="28" bestFit="1" customWidth="1"/>
    <col min="19" max="19" width="13.28125" style="28" bestFit="1" customWidth="1"/>
    <col min="20" max="16384" width="9.140625" style="28" customWidth="1"/>
  </cols>
  <sheetData>
    <row r="1" spans="1:18" s="70" customFormat="1" ht="12.75" customHeight="1">
      <c r="A1" s="63" t="s">
        <v>203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4"/>
    </row>
    <row r="2" spans="1:18" s="70" customFormat="1" ht="12.75" customHeight="1">
      <c r="A2" s="63" t="s">
        <v>254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4"/>
    </row>
    <row r="3" spans="1:18" s="70" customFormat="1" ht="12.75" customHeight="1">
      <c r="A3" s="49" t="s">
        <v>249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4"/>
    </row>
    <row r="4" spans="1:18" ht="12.75" customHeight="1">
      <c r="A4" s="57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36"/>
    </row>
    <row r="5" spans="1:18" ht="12.75" customHeight="1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6"/>
    </row>
    <row r="6" spans="1:19" ht="12.75" customHeight="1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6"/>
      <c r="S6" s="91" t="s">
        <v>105</v>
      </c>
    </row>
    <row r="7" spans="1:19" ht="12.75" customHeight="1">
      <c r="A7" s="19"/>
      <c r="B7" s="19"/>
      <c r="C7" s="19" t="s">
        <v>148</v>
      </c>
      <c r="D7" s="19"/>
      <c r="E7" s="19" t="s">
        <v>167</v>
      </c>
      <c r="F7" s="19"/>
      <c r="G7" s="19" t="s">
        <v>105</v>
      </c>
      <c r="H7" s="19"/>
      <c r="I7" s="19" t="s">
        <v>0</v>
      </c>
      <c r="J7" s="19"/>
      <c r="K7" s="19" t="s">
        <v>1</v>
      </c>
      <c r="L7" s="19"/>
      <c r="M7" s="19" t="s">
        <v>2</v>
      </c>
      <c r="N7" s="19"/>
      <c r="O7" s="19" t="s">
        <v>3</v>
      </c>
      <c r="P7" s="19"/>
      <c r="Q7" s="19" t="s">
        <v>4</v>
      </c>
      <c r="R7" s="36"/>
      <c r="S7" s="91" t="s">
        <v>209</v>
      </c>
    </row>
    <row r="8" spans="1:255" ht="12.75" customHeight="1">
      <c r="A8" s="53" t="s">
        <v>5</v>
      </c>
      <c r="B8" s="19"/>
      <c r="C8" s="53" t="s">
        <v>228</v>
      </c>
      <c r="D8" s="23"/>
      <c r="E8" s="53" t="s">
        <v>6</v>
      </c>
      <c r="F8" s="23"/>
      <c r="G8" s="53" t="s">
        <v>6</v>
      </c>
      <c r="H8" s="23"/>
      <c r="I8" s="53" t="s">
        <v>8</v>
      </c>
      <c r="J8" s="23"/>
      <c r="K8" s="53" t="s">
        <v>9</v>
      </c>
      <c r="L8" s="23"/>
      <c r="M8" s="53" t="s">
        <v>10</v>
      </c>
      <c r="N8" s="23"/>
      <c r="O8" s="53" t="s">
        <v>11</v>
      </c>
      <c r="P8" s="23"/>
      <c r="Q8" s="53" t="s">
        <v>12</v>
      </c>
      <c r="R8" s="43"/>
      <c r="S8" s="71" t="s">
        <v>210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ht="12.75" customHeight="1">
      <c r="A9" s="19"/>
      <c r="B9" s="19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43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12.75" customHeight="1" hidden="1">
      <c r="A10" s="89" t="s">
        <v>237</v>
      </c>
      <c r="B10" s="19"/>
      <c r="C10" s="47">
        <v>6868907</v>
      </c>
      <c r="D10" s="47"/>
      <c r="E10" s="47">
        <v>0</v>
      </c>
      <c r="F10" s="47"/>
      <c r="G10" s="47">
        <v>0</v>
      </c>
      <c r="H10" s="47"/>
      <c r="I10" s="47">
        <v>2992073</v>
      </c>
      <c r="J10" s="47"/>
      <c r="K10" s="47">
        <v>14034370</v>
      </c>
      <c r="L10" s="47"/>
      <c r="M10" s="47">
        <v>49628</v>
      </c>
      <c r="N10" s="46"/>
      <c r="O10" s="46">
        <f>Q10-C10-E10-G10-I10-K10-M10</f>
        <v>972721</v>
      </c>
      <c r="P10" s="46"/>
      <c r="Q10" s="47">
        <v>24917699</v>
      </c>
      <c r="R10" s="43"/>
      <c r="S10" s="47">
        <f>810359+124722+284705</f>
        <v>1219786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</row>
    <row r="11" spans="1:255" ht="12.75" customHeight="1">
      <c r="A11" s="32" t="s">
        <v>13</v>
      </c>
      <c r="B11" s="32"/>
      <c r="C11" s="47">
        <v>10540109</v>
      </c>
      <c r="D11" s="47"/>
      <c r="E11" s="47">
        <v>14129365</v>
      </c>
      <c r="F11" s="47"/>
      <c r="G11" s="47">
        <f>2939580</f>
        <v>2939580</v>
      </c>
      <c r="H11" s="47"/>
      <c r="I11" s="47">
        <v>8544755</v>
      </c>
      <c r="J11" s="47"/>
      <c r="K11" s="47">
        <v>34372581</v>
      </c>
      <c r="L11" s="47"/>
      <c r="M11" s="47">
        <v>1501747</v>
      </c>
      <c r="N11" s="46"/>
      <c r="O11" s="46">
        <f>Q11-C11-E11-G11-I11-K11-M11</f>
        <v>4279005</v>
      </c>
      <c r="P11" s="46"/>
      <c r="Q11" s="47">
        <v>76307142</v>
      </c>
      <c r="R11" s="43"/>
      <c r="S11" s="47">
        <f>42723+7949231+1713077</f>
        <v>9705031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</row>
    <row r="12" spans="1:255" ht="12.75" customHeight="1">
      <c r="A12" s="32" t="s">
        <v>14</v>
      </c>
      <c r="B12" s="32"/>
      <c r="C12" s="30">
        <v>6606013</v>
      </c>
      <c r="D12" s="30"/>
      <c r="E12" s="30">
        <v>6008000</v>
      </c>
      <c r="F12" s="30"/>
      <c r="G12" s="30">
        <f>24344+180725</f>
        <v>205069</v>
      </c>
      <c r="H12" s="30"/>
      <c r="I12" s="30">
        <v>2282676</v>
      </c>
      <c r="J12" s="30"/>
      <c r="K12" s="30">
        <v>19362066</v>
      </c>
      <c r="L12" s="30"/>
      <c r="M12" s="30">
        <v>0</v>
      </c>
      <c r="N12" s="16"/>
      <c r="O12" s="16">
        <f>Q12-C12-E12-G12-I12-K12-M12</f>
        <v>2221984</v>
      </c>
      <c r="P12" s="16"/>
      <c r="Q12" s="30">
        <v>36685808</v>
      </c>
      <c r="R12" s="43"/>
      <c r="S12" s="30">
        <v>722757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</row>
    <row r="13" spans="1:255" ht="12.75" customHeight="1">
      <c r="A13" s="32" t="s">
        <v>15</v>
      </c>
      <c r="B13" s="32"/>
      <c r="C13" s="30">
        <v>14600532</v>
      </c>
      <c r="D13" s="30"/>
      <c r="E13" s="30">
        <v>8537786</v>
      </c>
      <c r="F13" s="30"/>
      <c r="G13" s="30">
        <v>0</v>
      </c>
      <c r="H13" s="30"/>
      <c r="I13" s="30">
        <v>13049736</v>
      </c>
      <c r="J13" s="30"/>
      <c r="K13" s="30">
        <v>58836821</v>
      </c>
      <c r="L13" s="30"/>
      <c r="M13" s="30">
        <v>197103</v>
      </c>
      <c r="N13" s="16"/>
      <c r="O13" s="16">
        <f aca="true" t="shared" si="0" ref="O13:O71">Q13-C13-E13-G13-I13-K13-M13</f>
        <v>1985024</v>
      </c>
      <c r="P13" s="16"/>
      <c r="Q13" s="30">
        <v>97207002</v>
      </c>
      <c r="R13" s="43"/>
      <c r="S13" s="30">
        <f>531003+3000000+209717+46345+3065402</f>
        <v>6852467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</row>
    <row r="14" spans="1:255" ht="12.75" customHeight="1">
      <c r="A14" s="32" t="s">
        <v>16</v>
      </c>
      <c r="B14" s="32"/>
      <c r="C14" s="30">
        <v>11693835</v>
      </c>
      <c r="D14" s="30"/>
      <c r="E14" s="30">
        <v>6735970</v>
      </c>
      <c r="F14" s="30"/>
      <c r="G14" s="30">
        <v>0</v>
      </c>
      <c r="H14" s="30"/>
      <c r="I14" s="30">
        <v>0</v>
      </c>
      <c r="J14" s="30"/>
      <c r="K14" s="30">
        <v>26543612</v>
      </c>
      <c r="L14" s="30"/>
      <c r="M14" s="30">
        <v>0</v>
      </c>
      <c r="N14" s="16"/>
      <c r="O14" s="16">
        <f t="shared" si="0"/>
        <v>7288734</v>
      </c>
      <c r="P14" s="16"/>
      <c r="Q14" s="30">
        <v>52262151</v>
      </c>
      <c r="R14" s="43"/>
      <c r="S14" s="30">
        <f>553+94417+1129619</f>
        <v>1224589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</row>
    <row r="15" spans="1:255" ht="12.75" customHeight="1">
      <c r="A15" s="32" t="s">
        <v>17</v>
      </c>
      <c r="B15" s="32"/>
      <c r="C15" s="30">
        <v>5449965</v>
      </c>
      <c r="D15" s="30"/>
      <c r="E15" s="30">
        <v>7188814</v>
      </c>
      <c r="F15" s="30"/>
      <c r="G15" s="30">
        <v>0</v>
      </c>
      <c r="H15" s="30"/>
      <c r="I15" s="30">
        <v>3411082</v>
      </c>
      <c r="J15" s="30"/>
      <c r="K15" s="30">
        <v>13648465</v>
      </c>
      <c r="L15" s="30"/>
      <c r="M15" s="30">
        <v>1125428</v>
      </c>
      <c r="N15" s="16"/>
      <c r="O15" s="16">
        <f t="shared" si="0"/>
        <v>1455639</v>
      </c>
      <c r="P15" s="16"/>
      <c r="Q15" s="30">
        <v>32279393</v>
      </c>
      <c r="R15" s="43"/>
      <c r="S15" s="30">
        <f>32318+7626+302289+899050</f>
        <v>1241283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ht="12.75" customHeight="1">
      <c r="A16" s="32" t="s">
        <v>18</v>
      </c>
      <c r="B16" s="32"/>
      <c r="C16" s="30">
        <v>9690028</v>
      </c>
      <c r="D16" s="30"/>
      <c r="E16" s="30">
        <f>359693+11278397</f>
        <v>11638090</v>
      </c>
      <c r="F16" s="30"/>
      <c r="G16" s="30">
        <v>0</v>
      </c>
      <c r="H16" s="30"/>
      <c r="I16" s="30">
        <v>5165793</v>
      </c>
      <c r="J16" s="30"/>
      <c r="K16" s="30">
        <v>23001341</v>
      </c>
      <c r="L16" s="30"/>
      <c r="M16" s="30">
        <v>0</v>
      </c>
      <c r="N16" s="16"/>
      <c r="O16" s="16">
        <f t="shared" si="0"/>
        <v>4129748</v>
      </c>
      <c r="P16" s="16"/>
      <c r="Q16" s="30">
        <v>53625000</v>
      </c>
      <c r="R16" s="43"/>
      <c r="S16" s="30">
        <f>92251+142873+911367</f>
        <v>1146491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ht="12.75" customHeight="1" hidden="1">
      <c r="A17" s="32" t="s">
        <v>240</v>
      </c>
      <c r="B17" s="32"/>
      <c r="C17" s="30">
        <v>0</v>
      </c>
      <c r="D17" s="30"/>
      <c r="E17" s="30">
        <v>0</v>
      </c>
      <c r="F17" s="30"/>
      <c r="G17" s="30">
        <v>0</v>
      </c>
      <c r="H17" s="30"/>
      <c r="I17" s="30">
        <v>0</v>
      </c>
      <c r="J17" s="30"/>
      <c r="K17" s="30">
        <v>0</v>
      </c>
      <c r="L17" s="30"/>
      <c r="M17" s="30">
        <v>0</v>
      </c>
      <c r="N17" s="16"/>
      <c r="O17" s="16">
        <f t="shared" si="0"/>
        <v>0</v>
      </c>
      <c r="P17" s="16"/>
      <c r="Q17" s="30">
        <v>0</v>
      </c>
      <c r="R17" s="43"/>
      <c r="S17" s="30">
        <v>0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ht="12.75" customHeight="1" hidden="1">
      <c r="A18" s="32" t="s">
        <v>238</v>
      </c>
      <c r="B18" s="32"/>
      <c r="C18" s="30">
        <v>0</v>
      </c>
      <c r="D18" s="30"/>
      <c r="E18" s="30">
        <v>0</v>
      </c>
      <c r="F18" s="30"/>
      <c r="G18" s="30">
        <v>0</v>
      </c>
      <c r="H18" s="30"/>
      <c r="I18" s="30">
        <v>0</v>
      </c>
      <c r="J18" s="30"/>
      <c r="K18" s="30">
        <v>0</v>
      </c>
      <c r="L18" s="30"/>
      <c r="M18" s="30">
        <v>0</v>
      </c>
      <c r="N18" s="16"/>
      <c r="O18" s="16">
        <f t="shared" si="0"/>
        <v>0</v>
      </c>
      <c r="P18" s="16"/>
      <c r="Q18" s="30">
        <v>0</v>
      </c>
      <c r="R18" s="43"/>
      <c r="S18" s="30">
        <v>0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ht="12.75" customHeight="1">
      <c r="A19" s="32" t="s">
        <v>20</v>
      </c>
      <c r="B19" s="32"/>
      <c r="C19" s="30">
        <v>4629034</v>
      </c>
      <c r="D19" s="30"/>
      <c r="E19" s="30">
        <v>1808612</v>
      </c>
      <c r="F19" s="30"/>
      <c r="G19" s="30">
        <v>0</v>
      </c>
      <c r="H19" s="30"/>
      <c r="I19" s="30">
        <v>3368525</v>
      </c>
      <c r="J19" s="30"/>
      <c r="K19" s="30">
        <v>15187471</v>
      </c>
      <c r="L19" s="30"/>
      <c r="M19" s="30">
        <v>0</v>
      </c>
      <c r="N19" s="16"/>
      <c r="O19" s="16">
        <f t="shared" si="0"/>
        <v>1017393</v>
      </c>
      <c r="P19" s="16"/>
      <c r="Q19" s="30">
        <v>26011035</v>
      </c>
      <c r="R19" s="43"/>
      <c r="S19" s="30">
        <f>61650+264870+23242</f>
        <v>349762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ht="12.75" customHeight="1" hidden="1">
      <c r="A20" s="23" t="s">
        <v>173</v>
      </c>
      <c r="B20" s="23"/>
      <c r="C20" s="30">
        <v>0</v>
      </c>
      <c r="D20" s="30"/>
      <c r="E20" s="30">
        <v>0</v>
      </c>
      <c r="F20" s="30"/>
      <c r="G20" s="30">
        <v>0</v>
      </c>
      <c r="H20" s="30"/>
      <c r="I20" s="30"/>
      <c r="J20" s="30"/>
      <c r="K20" s="30"/>
      <c r="L20" s="30"/>
      <c r="M20" s="30">
        <v>0</v>
      </c>
      <c r="N20" s="16"/>
      <c r="O20" s="16">
        <f t="shared" si="0"/>
        <v>0</v>
      </c>
      <c r="P20" s="16"/>
      <c r="Q20" s="30">
        <v>0</v>
      </c>
      <c r="R20" s="43"/>
      <c r="S20" s="30">
        <v>0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ht="12.75" customHeight="1">
      <c r="A21" s="32" t="s">
        <v>21</v>
      </c>
      <c r="B21" s="32"/>
      <c r="C21" s="30">
        <v>17707004</v>
      </c>
      <c r="D21" s="30"/>
      <c r="E21" s="30">
        <v>19451080</v>
      </c>
      <c r="F21" s="30"/>
      <c r="G21" s="30">
        <v>0</v>
      </c>
      <c r="H21" s="30"/>
      <c r="I21" s="30">
        <v>16793990</v>
      </c>
      <c r="J21" s="30"/>
      <c r="K21" s="30">
        <v>60106823</v>
      </c>
      <c r="L21" s="30"/>
      <c r="M21" s="30">
        <v>110268</v>
      </c>
      <c r="N21" s="16"/>
      <c r="O21" s="16">
        <f t="shared" si="0"/>
        <v>4736523</v>
      </c>
      <c r="P21" s="16"/>
      <c r="Q21" s="30">
        <v>118905688</v>
      </c>
      <c r="R21" s="43"/>
      <c r="S21" s="30">
        <f>14995+3969615+2455000</f>
        <v>6439610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ht="12.75" customHeight="1">
      <c r="A22" s="32" t="s">
        <v>181</v>
      </c>
      <c r="B22" s="32"/>
      <c r="C22" s="30">
        <v>21593808</v>
      </c>
      <c r="D22" s="30"/>
      <c r="E22" s="30">
        <v>22346628</v>
      </c>
      <c r="F22" s="30"/>
      <c r="G22" s="30">
        <v>474376</v>
      </c>
      <c r="H22" s="30"/>
      <c r="I22" s="30">
        <v>18046924</v>
      </c>
      <c r="J22" s="30"/>
      <c r="K22" s="30">
        <v>47443017</v>
      </c>
      <c r="L22" s="30"/>
      <c r="M22" s="30">
        <v>1004303</v>
      </c>
      <c r="N22" s="16"/>
      <c r="O22" s="16">
        <f t="shared" si="0"/>
        <v>6523340</v>
      </c>
      <c r="P22" s="16"/>
      <c r="Q22" s="30">
        <v>117432396</v>
      </c>
      <c r="R22" s="43"/>
      <c r="S22" s="30">
        <f>8687885+79669</f>
        <v>8767554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ht="12.75" customHeight="1">
      <c r="A23" s="32" t="s">
        <v>22</v>
      </c>
      <c r="B23" s="32"/>
      <c r="C23" s="30">
        <v>7442449</v>
      </c>
      <c r="D23" s="30"/>
      <c r="E23" s="30">
        <v>6206100</v>
      </c>
      <c r="F23" s="30"/>
      <c r="G23" s="30">
        <v>0</v>
      </c>
      <c r="H23" s="30"/>
      <c r="I23" s="30">
        <v>3375216</v>
      </c>
      <c r="J23" s="30"/>
      <c r="K23" s="30">
        <v>16399975</v>
      </c>
      <c r="L23" s="30"/>
      <c r="M23" s="30">
        <v>137087</v>
      </c>
      <c r="N23" s="16"/>
      <c r="O23" s="16">
        <f t="shared" si="0"/>
        <v>2465700</v>
      </c>
      <c r="P23" s="16"/>
      <c r="Q23" s="30">
        <v>36026527</v>
      </c>
      <c r="R23" s="43"/>
      <c r="S23" s="30">
        <f>45000+38734+3717+2499833+27483322</f>
        <v>30070606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12.75" customHeight="1" hidden="1">
      <c r="A24" s="32" t="s">
        <v>23</v>
      </c>
      <c r="B24" s="32"/>
      <c r="C24" s="30">
        <v>0</v>
      </c>
      <c r="D24" s="30"/>
      <c r="E24" s="30">
        <v>0</v>
      </c>
      <c r="F24" s="30"/>
      <c r="G24" s="30">
        <v>0</v>
      </c>
      <c r="H24" s="30"/>
      <c r="I24" s="30">
        <v>0</v>
      </c>
      <c r="J24" s="30"/>
      <c r="K24" s="30">
        <v>0</v>
      </c>
      <c r="L24" s="30"/>
      <c r="M24" s="30">
        <v>0</v>
      </c>
      <c r="N24" s="16"/>
      <c r="O24" s="16">
        <f t="shared" si="0"/>
        <v>0</v>
      </c>
      <c r="P24" s="16"/>
      <c r="Q24" s="30">
        <v>0</v>
      </c>
      <c r="R24" s="43"/>
      <c r="S24" s="30">
        <v>0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2.75" customHeight="1">
      <c r="A25" s="32" t="s">
        <v>24</v>
      </c>
      <c r="B25" s="32"/>
      <c r="C25" s="30">
        <v>6222883</v>
      </c>
      <c r="D25" s="30"/>
      <c r="E25" s="30">
        <v>4309885</v>
      </c>
      <c r="F25" s="30"/>
      <c r="G25" s="30">
        <v>4148</v>
      </c>
      <c r="H25" s="30"/>
      <c r="I25" s="30">
        <v>4256465</v>
      </c>
      <c r="J25" s="30"/>
      <c r="K25" s="30">
        <v>23389402</v>
      </c>
      <c r="L25" s="30"/>
      <c r="M25" s="30">
        <v>0</v>
      </c>
      <c r="N25" s="16"/>
      <c r="O25" s="16">
        <f t="shared" si="0"/>
        <v>1777067</v>
      </c>
      <c r="P25" s="16"/>
      <c r="Q25" s="30">
        <v>39959850</v>
      </c>
      <c r="R25" s="43"/>
      <c r="S25" s="30">
        <f>2040339+477513</f>
        <v>2517852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2.75" customHeight="1">
      <c r="A26" s="32" t="s">
        <v>243</v>
      </c>
      <c r="B26" s="32"/>
      <c r="C26" s="30">
        <v>5552139</v>
      </c>
      <c r="D26" s="30"/>
      <c r="E26" s="30">
        <v>4461226</v>
      </c>
      <c r="F26" s="30"/>
      <c r="G26" s="30"/>
      <c r="H26" s="30"/>
      <c r="I26" s="30">
        <v>7412560</v>
      </c>
      <c r="J26" s="30"/>
      <c r="K26" s="30">
        <v>21741265</v>
      </c>
      <c r="L26" s="30"/>
      <c r="M26" s="30">
        <v>63268</v>
      </c>
      <c r="N26" s="16"/>
      <c r="O26" s="16">
        <f t="shared" si="0"/>
        <v>2472884</v>
      </c>
      <c r="P26" s="16"/>
      <c r="Q26" s="30">
        <v>41703342</v>
      </c>
      <c r="R26" s="43"/>
      <c r="S26" s="30">
        <f>2895000+1710852</f>
        <v>4605852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2.75" customHeight="1">
      <c r="A27" s="32" t="s">
        <v>25</v>
      </c>
      <c r="B27" s="32"/>
      <c r="C27" s="30">
        <f>358218*1000</f>
        <v>358218000</v>
      </c>
      <c r="D27" s="30"/>
      <c r="E27" s="30">
        <f>194026*1000</f>
        <v>194026000</v>
      </c>
      <c r="F27" s="30"/>
      <c r="G27" s="30">
        <f>33661*1000</f>
        <v>33661000</v>
      </c>
      <c r="H27" s="30"/>
      <c r="I27" s="30">
        <f>75102*1000</f>
        <v>75102000</v>
      </c>
      <c r="J27" s="30"/>
      <c r="K27" s="30">
        <f>32422*1000</f>
        <v>32422000</v>
      </c>
      <c r="L27" s="30"/>
      <c r="M27" s="30">
        <v>0</v>
      </c>
      <c r="N27" s="16"/>
      <c r="O27" s="16">
        <f t="shared" si="0"/>
        <v>758905000</v>
      </c>
      <c r="P27" s="16"/>
      <c r="Q27" s="30">
        <f>1452334*1000</f>
        <v>1452334000</v>
      </c>
      <c r="R27" s="43"/>
      <c r="S27" s="30">
        <f>(234102+163825+6445)*1000</f>
        <v>404372000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2.75" customHeight="1" hidden="1">
      <c r="A28" s="32" t="s">
        <v>26</v>
      </c>
      <c r="B28" s="32"/>
      <c r="C28" s="30">
        <v>0</v>
      </c>
      <c r="D28" s="30"/>
      <c r="E28" s="30">
        <v>0</v>
      </c>
      <c r="F28" s="30"/>
      <c r="G28" s="30">
        <v>0</v>
      </c>
      <c r="H28" s="30"/>
      <c r="I28" s="30">
        <v>0</v>
      </c>
      <c r="J28" s="30"/>
      <c r="K28" s="30">
        <v>0</v>
      </c>
      <c r="L28" s="30"/>
      <c r="M28" s="30">
        <v>0</v>
      </c>
      <c r="N28" s="16"/>
      <c r="O28" s="16">
        <f t="shared" si="0"/>
        <v>0</v>
      </c>
      <c r="P28" s="16"/>
      <c r="Q28" s="30">
        <v>0</v>
      </c>
      <c r="R28" s="43"/>
      <c r="S28" s="30">
        <v>0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2.75" customHeight="1">
      <c r="A29" s="32" t="s">
        <v>27</v>
      </c>
      <c r="B29" s="32"/>
      <c r="C29" s="30">
        <v>4797165</v>
      </c>
      <c r="D29" s="30"/>
      <c r="E29" s="30">
        <v>4394684</v>
      </c>
      <c r="F29" s="30"/>
      <c r="G29" s="30">
        <v>89373</v>
      </c>
      <c r="H29" s="30"/>
      <c r="I29" s="30">
        <v>607467</v>
      </c>
      <c r="J29" s="30"/>
      <c r="K29" s="30">
        <v>14128838</v>
      </c>
      <c r="L29" s="30"/>
      <c r="M29" s="30">
        <v>607467</v>
      </c>
      <c r="N29" s="16"/>
      <c r="O29" s="16">
        <f t="shared" si="0"/>
        <v>5118281</v>
      </c>
      <c r="P29" s="16"/>
      <c r="Q29" s="30">
        <v>29743275</v>
      </c>
      <c r="R29" s="43"/>
      <c r="S29" s="30">
        <f>16217+1773691+580250+2385000+2325000+35309+77893+820073</f>
        <v>8013433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2.75" customHeight="1">
      <c r="A30" s="32" t="s">
        <v>28</v>
      </c>
      <c r="B30" s="32"/>
      <c r="C30" s="30">
        <v>25199180</v>
      </c>
      <c r="D30" s="30"/>
      <c r="E30" s="30">
        <v>38088578</v>
      </c>
      <c r="F30" s="30"/>
      <c r="G30" s="30">
        <v>240937</v>
      </c>
      <c r="H30" s="30"/>
      <c r="I30" s="30">
        <v>18029555</v>
      </c>
      <c r="J30" s="30"/>
      <c r="K30" s="30">
        <v>33684198</v>
      </c>
      <c r="L30" s="30"/>
      <c r="M30" s="30">
        <v>923971</v>
      </c>
      <c r="N30" s="16"/>
      <c r="O30" s="16">
        <f t="shared" si="0"/>
        <v>5894808</v>
      </c>
      <c r="P30" s="16"/>
      <c r="Q30" s="30">
        <v>122061227</v>
      </c>
      <c r="R30" s="43"/>
      <c r="S30" s="30">
        <f>15910000+5255050+35250+634215+214433+15195581</f>
        <v>37244529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ht="12.75" customHeight="1">
      <c r="A31" s="32" t="s">
        <v>29</v>
      </c>
      <c r="B31" s="32"/>
      <c r="C31" s="30">
        <v>9272153</v>
      </c>
      <c r="D31" s="30"/>
      <c r="E31" s="30">
        <v>12632831</v>
      </c>
      <c r="F31" s="30"/>
      <c r="G31" s="30">
        <v>1518696</v>
      </c>
      <c r="H31" s="30"/>
      <c r="I31" s="30">
        <v>6936176</v>
      </c>
      <c r="J31" s="30"/>
      <c r="K31" s="30">
        <v>23463955</v>
      </c>
      <c r="L31" s="30"/>
      <c r="M31" s="30">
        <v>842236</v>
      </c>
      <c r="N31" s="16"/>
      <c r="O31" s="16">
        <f t="shared" si="0"/>
        <v>6700143</v>
      </c>
      <c r="P31" s="16"/>
      <c r="Q31" s="30">
        <v>61366190</v>
      </c>
      <c r="R31" s="43"/>
      <c r="S31" s="30">
        <f>11294+18970+4106290</f>
        <v>4136554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2.75" customHeight="1">
      <c r="A32" s="32" t="s">
        <v>30</v>
      </c>
      <c r="B32" s="32"/>
      <c r="C32" s="30">
        <v>22224992</v>
      </c>
      <c r="D32" s="30"/>
      <c r="E32" s="30">
        <f>15898127+1102603</f>
        <v>17000730</v>
      </c>
      <c r="F32" s="30"/>
      <c r="G32" s="30">
        <v>136465</v>
      </c>
      <c r="H32" s="30"/>
      <c r="I32" s="30">
        <v>13566309</v>
      </c>
      <c r="J32" s="30"/>
      <c r="K32" s="30">
        <v>43896829</v>
      </c>
      <c r="L32" s="30"/>
      <c r="M32" s="30">
        <v>375502</v>
      </c>
      <c r="N32" s="16"/>
      <c r="O32" s="16">
        <f t="shared" si="0"/>
        <v>4327789</v>
      </c>
      <c r="P32" s="16"/>
      <c r="Q32" s="30">
        <v>101528616</v>
      </c>
      <c r="R32" s="43"/>
      <c r="S32" s="30">
        <f>94969+939182+101101+10535000+340091+5750294</f>
        <v>17760637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2.75" customHeight="1" hidden="1">
      <c r="A33" s="32" t="s">
        <v>239</v>
      </c>
      <c r="B33" s="32"/>
      <c r="C33" s="30">
        <v>0</v>
      </c>
      <c r="D33" s="30"/>
      <c r="E33" s="30">
        <v>0</v>
      </c>
      <c r="F33" s="30"/>
      <c r="G33" s="30">
        <v>0</v>
      </c>
      <c r="H33" s="30"/>
      <c r="I33" s="30">
        <v>0</v>
      </c>
      <c r="J33" s="30"/>
      <c r="K33" s="30">
        <v>0</v>
      </c>
      <c r="L33" s="30"/>
      <c r="M33" s="30">
        <v>0</v>
      </c>
      <c r="N33" s="16"/>
      <c r="O33" s="16">
        <f t="shared" si="0"/>
        <v>0</v>
      </c>
      <c r="P33" s="16"/>
      <c r="Q33" s="30">
        <v>0</v>
      </c>
      <c r="R33" s="43"/>
      <c r="S33" s="30">
        <v>0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2.75" customHeight="1">
      <c r="A34" s="32" t="s">
        <v>32</v>
      </c>
      <c r="B34" s="32"/>
      <c r="C34" s="30">
        <f>403734*1000</f>
        <v>403734000</v>
      </c>
      <c r="D34" s="30"/>
      <c r="E34" s="30">
        <f>130621*1000</f>
        <v>130621000</v>
      </c>
      <c r="F34" s="30"/>
      <c r="G34" s="30">
        <v>0</v>
      </c>
      <c r="H34" s="30"/>
      <c r="I34" s="30">
        <f>94178*1000</f>
        <v>94178000</v>
      </c>
      <c r="J34" s="30"/>
      <c r="K34" s="30">
        <f>505895*1000</f>
        <v>505895000</v>
      </c>
      <c r="L34" s="30"/>
      <c r="M34" s="30">
        <v>0</v>
      </c>
      <c r="N34" s="16"/>
      <c r="O34" s="16">
        <f t="shared" si="0"/>
        <v>51880000</v>
      </c>
      <c r="P34" s="16"/>
      <c r="Q34" s="30">
        <f>1186308*1000</f>
        <v>1186308000</v>
      </c>
      <c r="R34" s="43"/>
      <c r="S34" s="30">
        <f>(33365+53490+12000+36+101+138)*1000</f>
        <v>99130000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2.75" customHeight="1">
      <c r="A35" s="32" t="s">
        <v>33</v>
      </c>
      <c r="B35" s="32"/>
      <c r="C35" s="30">
        <v>7160193</v>
      </c>
      <c r="D35" s="30"/>
      <c r="E35" s="30">
        <v>6120809</v>
      </c>
      <c r="F35" s="30"/>
      <c r="G35" s="30">
        <v>0</v>
      </c>
      <c r="H35" s="30"/>
      <c r="I35" s="30">
        <v>4704306</v>
      </c>
      <c r="J35" s="30"/>
      <c r="K35" s="30">
        <v>16658326</v>
      </c>
      <c r="L35" s="30"/>
      <c r="M35" s="30">
        <v>305210</v>
      </c>
      <c r="N35" s="16"/>
      <c r="O35" s="16">
        <f t="shared" si="0"/>
        <v>3196170</v>
      </c>
      <c r="P35" s="16"/>
      <c r="Q35" s="30">
        <v>38145014</v>
      </c>
      <c r="R35" s="43"/>
      <c r="S35" s="30">
        <f>279053+32048+10976+300760</f>
        <v>622837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2.75" customHeight="1">
      <c r="A36" s="32" t="s">
        <v>34</v>
      </c>
      <c r="B36" s="32"/>
      <c r="C36" s="30">
        <v>2903665</v>
      </c>
      <c r="D36" s="30"/>
      <c r="E36" s="30">
        <v>4072767</v>
      </c>
      <c r="F36" s="30"/>
      <c r="G36" s="30">
        <v>0</v>
      </c>
      <c r="H36" s="30"/>
      <c r="I36" s="30">
        <v>4670886</v>
      </c>
      <c r="J36" s="30"/>
      <c r="K36" s="30">
        <v>15172251</v>
      </c>
      <c r="L36" s="30"/>
      <c r="M36" s="30">
        <v>0</v>
      </c>
      <c r="N36" s="16"/>
      <c r="O36" s="16">
        <f t="shared" si="0"/>
        <v>882653</v>
      </c>
      <c r="P36" s="16"/>
      <c r="Q36" s="30">
        <v>27702222</v>
      </c>
      <c r="R36" s="43"/>
      <c r="S36" s="30">
        <f>525258+1186845</f>
        <v>1712103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2.75" customHeight="1">
      <c r="A37" s="32" t="s">
        <v>35</v>
      </c>
      <c r="B37" s="32"/>
      <c r="C37" s="30">
        <v>24622759</v>
      </c>
      <c r="D37" s="30"/>
      <c r="E37" s="30">
        <v>11054675</v>
      </c>
      <c r="F37" s="30"/>
      <c r="G37" s="30">
        <v>880930</v>
      </c>
      <c r="H37" s="30"/>
      <c r="I37" s="30">
        <v>7101534</v>
      </c>
      <c r="J37" s="30"/>
      <c r="K37" s="30">
        <v>38082770</v>
      </c>
      <c r="L37" s="30"/>
      <c r="M37" s="30">
        <v>601682</v>
      </c>
      <c r="N37" s="16"/>
      <c r="O37" s="16">
        <f t="shared" si="0"/>
        <v>5050993</v>
      </c>
      <c r="P37" s="16"/>
      <c r="Q37" s="30">
        <v>87395343</v>
      </c>
      <c r="R37" s="43"/>
      <c r="S37" s="30">
        <f>5810870</f>
        <v>5810870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2.75" customHeight="1">
      <c r="A38" s="32" t="s">
        <v>182</v>
      </c>
      <c r="B38" s="32"/>
      <c r="C38" s="30">
        <v>56650368</v>
      </c>
      <c r="D38" s="30"/>
      <c r="E38" s="30">
        <v>0</v>
      </c>
      <c r="F38" s="30"/>
      <c r="G38" s="30">
        <v>0</v>
      </c>
      <c r="H38" s="30"/>
      <c r="I38" s="30">
        <v>17844783</v>
      </c>
      <c r="J38" s="30"/>
      <c r="K38" s="30">
        <v>41403895</v>
      </c>
      <c r="L38" s="30"/>
      <c r="M38" s="30">
        <v>596864</v>
      </c>
      <c r="N38" s="16"/>
      <c r="O38" s="16">
        <f t="shared" si="0"/>
        <v>5611174</v>
      </c>
      <c r="P38" s="16"/>
      <c r="Q38" s="30">
        <v>122107084</v>
      </c>
      <c r="R38" s="43"/>
      <c r="S38" s="30">
        <f>35738+2928545+2712752</f>
        <v>5677035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2.75" customHeight="1" hidden="1">
      <c r="A39" s="32" t="s">
        <v>244</v>
      </c>
      <c r="B39" s="32"/>
      <c r="C39" s="24">
        <v>0</v>
      </c>
      <c r="D39" s="30"/>
      <c r="E39" s="24">
        <v>0</v>
      </c>
      <c r="F39" s="30"/>
      <c r="G39" s="24">
        <v>0</v>
      </c>
      <c r="H39" s="30"/>
      <c r="I39" s="24">
        <v>0</v>
      </c>
      <c r="J39" s="30"/>
      <c r="K39" s="24">
        <v>0</v>
      </c>
      <c r="L39" s="30"/>
      <c r="M39" s="24">
        <v>0</v>
      </c>
      <c r="N39" s="16"/>
      <c r="O39" s="16">
        <f t="shared" si="0"/>
        <v>0</v>
      </c>
      <c r="P39" s="16"/>
      <c r="Q39" s="24">
        <v>0</v>
      </c>
      <c r="R39" s="43"/>
      <c r="S39" s="24">
        <v>0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2.75" customHeight="1" hidden="1">
      <c r="A40" s="32" t="s">
        <v>37</v>
      </c>
      <c r="B40" s="32"/>
      <c r="C40" s="24">
        <v>0</v>
      </c>
      <c r="D40" s="30"/>
      <c r="E40" s="24">
        <v>0</v>
      </c>
      <c r="F40" s="30"/>
      <c r="G40" s="24">
        <v>0</v>
      </c>
      <c r="H40" s="30"/>
      <c r="I40" s="24">
        <v>0</v>
      </c>
      <c r="J40" s="30"/>
      <c r="K40" s="24">
        <v>0</v>
      </c>
      <c r="L40" s="30"/>
      <c r="M40" s="24">
        <v>0</v>
      </c>
      <c r="N40" s="16"/>
      <c r="O40" s="16">
        <f t="shared" si="0"/>
        <v>0</v>
      </c>
      <c r="P40" s="16"/>
      <c r="Q40" s="24">
        <v>0</v>
      </c>
      <c r="R40" s="43"/>
      <c r="S40" s="24">
        <v>0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2.75" customHeight="1">
      <c r="A41" s="32" t="s">
        <v>38</v>
      </c>
      <c r="B41" s="32"/>
      <c r="C41" s="24">
        <v>10128456</v>
      </c>
      <c r="D41" s="30"/>
      <c r="E41" s="24">
        <f>1814383+171664</f>
        <v>1986047</v>
      </c>
      <c r="F41" s="30"/>
      <c r="G41" s="24">
        <f>11211027</f>
        <v>11211027</v>
      </c>
      <c r="H41" s="30"/>
      <c r="I41" s="24">
        <v>6315593</v>
      </c>
      <c r="J41" s="30"/>
      <c r="K41" s="24">
        <v>30808886</v>
      </c>
      <c r="L41" s="30"/>
      <c r="M41" s="24">
        <v>659198</v>
      </c>
      <c r="N41" s="16"/>
      <c r="O41" s="16">
        <f t="shared" si="0"/>
        <v>3416125</v>
      </c>
      <c r="P41" s="16"/>
      <c r="Q41" s="24">
        <v>64525332</v>
      </c>
      <c r="R41" s="43"/>
      <c r="S41" s="24">
        <v>5412693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2.75" customHeight="1" hidden="1">
      <c r="A42" s="32" t="s">
        <v>168</v>
      </c>
      <c r="B42" s="32"/>
      <c r="C42" s="24">
        <v>0</v>
      </c>
      <c r="D42" s="30"/>
      <c r="E42" s="24">
        <v>0</v>
      </c>
      <c r="F42" s="30"/>
      <c r="G42" s="24">
        <v>0</v>
      </c>
      <c r="H42" s="30"/>
      <c r="I42" s="24">
        <v>0</v>
      </c>
      <c r="J42" s="30"/>
      <c r="K42" s="24">
        <v>0</v>
      </c>
      <c r="L42" s="30"/>
      <c r="M42" s="24">
        <v>0</v>
      </c>
      <c r="N42" s="16"/>
      <c r="O42" s="16">
        <f t="shared" si="0"/>
        <v>0</v>
      </c>
      <c r="P42" s="16"/>
      <c r="Q42" s="24">
        <v>0</v>
      </c>
      <c r="R42" s="43"/>
      <c r="S42" s="24">
        <v>0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19" ht="12.75" customHeight="1" hidden="1">
      <c r="A43" s="32" t="s">
        <v>39</v>
      </c>
      <c r="B43" s="32"/>
      <c r="C43" s="24">
        <v>0</v>
      </c>
      <c r="D43" s="30"/>
      <c r="E43" s="24">
        <v>0</v>
      </c>
      <c r="F43" s="30"/>
      <c r="G43" s="24">
        <v>0</v>
      </c>
      <c r="H43" s="30"/>
      <c r="I43" s="24">
        <v>0</v>
      </c>
      <c r="J43" s="30"/>
      <c r="K43" s="24">
        <v>0</v>
      </c>
      <c r="L43" s="30"/>
      <c r="M43" s="24">
        <v>0</v>
      </c>
      <c r="N43" s="16"/>
      <c r="O43" s="16">
        <f t="shared" si="0"/>
        <v>0</v>
      </c>
      <c r="P43" s="16"/>
      <c r="Q43" s="24">
        <v>0</v>
      </c>
      <c r="R43" s="43"/>
      <c r="S43" s="24">
        <v>0</v>
      </c>
    </row>
    <row r="44" spans="1:19" ht="12.75">
      <c r="A44" s="32" t="s">
        <v>40</v>
      </c>
      <c r="B44" s="32"/>
      <c r="C44" s="24">
        <v>5996995</v>
      </c>
      <c r="D44" s="30"/>
      <c r="E44" s="24">
        <v>3666293</v>
      </c>
      <c r="F44" s="30"/>
      <c r="G44" s="24">
        <v>0</v>
      </c>
      <c r="H44" s="30"/>
      <c r="I44" s="24">
        <v>2415152</v>
      </c>
      <c r="J44" s="30"/>
      <c r="K44" s="24">
        <v>15388722</v>
      </c>
      <c r="L44" s="30"/>
      <c r="M44" s="24">
        <v>502705</v>
      </c>
      <c r="N44" s="16"/>
      <c r="O44" s="16">
        <f t="shared" si="0"/>
        <v>1380326</v>
      </c>
      <c r="P44" s="16"/>
      <c r="Q44" s="24">
        <v>29350193</v>
      </c>
      <c r="R44" s="43"/>
      <c r="S44" s="24">
        <v>1850850</v>
      </c>
    </row>
    <row r="45" spans="1:19" ht="12.75" customHeight="1" hidden="1">
      <c r="A45" s="32" t="s">
        <v>41</v>
      </c>
      <c r="B45" s="32"/>
      <c r="C45" s="24">
        <v>0</v>
      </c>
      <c r="D45" s="30"/>
      <c r="E45" s="24">
        <v>0</v>
      </c>
      <c r="F45" s="30"/>
      <c r="G45" s="24">
        <v>0</v>
      </c>
      <c r="H45" s="30"/>
      <c r="I45" s="24">
        <v>0</v>
      </c>
      <c r="J45" s="30"/>
      <c r="K45" s="24">
        <v>0</v>
      </c>
      <c r="L45" s="30"/>
      <c r="M45" s="24">
        <v>0</v>
      </c>
      <c r="N45" s="16"/>
      <c r="O45" s="16">
        <f t="shared" si="0"/>
        <v>0</v>
      </c>
      <c r="P45" s="16"/>
      <c r="Q45" s="24">
        <v>0</v>
      </c>
      <c r="R45" s="43"/>
      <c r="S45" s="24">
        <v>0</v>
      </c>
    </row>
    <row r="46" spans="1:19" ht="12.75" customHeight="1">
      <c r="A46" s="32" t="s">
        <v>42</v>
      </c>
      <c r="B46" s="32"/>
      <c r="C46" s="24">
        <v>8179307</v>
      </c>
      <c r="D46" s="145"/>
      <c r="E46" s="24">
        <v>0</v>
      </c>
      <c r="F46" s="145"/>
      <c r="G46" s="24">
        <v>0</v>
      </c>
      <c r="H46" s="145"/>
      <c r="I46" s="24">
        <v>1953353</v>
      </c>
      <c r="J46" s="145"/>
      <c r="K46" s="24">
        <v>14316259</v>
      </c>
      <c r="L46" s="145"/>
      <c r="M46" s="24">
        <v>8166</v>
      </c>
      <c r="N46" s="132"/>
      <c r="O46" s="132">
        <f t="shared" si="0"/>
        <v>1606912</v>
      </c>
      <c r="P46" s="132"/>
      <c r="Q46" s="24">
        <v>26063997</v>
      </c>
      <c r="R46" s="152"/>
      <c r="S46" s="24">
        <f>102614+19678+9412+1021917</f>
        <v>1153621</v>
      </c>
    </row>
    <row r="47" spans="1:19" ht="12.75" customHeight="1">
      <c r="A47" s="32" t="s">
        <v>43</v>
      </c>
      <c r="B47" s="32"/>
      <c r="C47" s="24">
        <v>5575698</v>
      </c>
      <c r="D47" s="145"/>
      <c r="E47" s="24">
        <v>4463179</v>
      </c>
      <c r="F47" s="145"/>
      <c r="G47" s="24">
        <v>0</v>
      </c>
      <c r="H47" s="145"/>
      <c r="I47" s="24">
        <v>3884411</v>
      </c>
      <c r="J47" s="145"/>
      <c r="K47" s="24">
        <v>13338997</v>
      </c>
      <c r="L47" s="145"/>
      <c r="M47" s="24">
        <v>0</v>
      </c>
      <c r="N47" s="132"/>
      <c r="O47" s="132">
        <f t="shared" si="0"/>
        <v>1615384</v>
      </c>
      <c r="P47" s="132"/>
      <c r="Q47" s="24">
        <v>28877669</v>
      </c>
      <c r="R47" s="152"/>
      <c r="S47" s="24">
        <f>70827+8109+561880</f>
        <v>640816</v>
      </c>
    </row>
    <row r="48" spans="1:19" ht="12.75" customHeight="1" hidden="1">
      <c r="A48" s="32" t="s">
        <v>44</v>
      </c>
      <c r="B48" s="32"/>
      <c r="C48" s="24">
        <v>0</v>
      </c>
      <c r="D48" s="145"/>
      <c r="E48" s="24">
        <v>0</v>
      </c>
      <c r="F48" s="145"/>
      <c r="G48" s="24">
        <v>0</v>
      </c>
      <c r="H48" s="145"/>
      <c r="I48" s="24">
        <v>0</v>
      </c>
      <c r="J48" s="145"/>
      <c r="K48" s="24">
        <v>0</v>
      </c>
      <c r="L48" s="145"/>
      <c r="M48" s="24">
        <v>0</v>
      </c>
      <c r="N48" s="132"/>
      <c r="O48" s="132">
        <f t="shared" si="0"/>
        <v>0</v>
      </c>
      <c r="P48" s="132"/>
      <c r="Q48" s="24">
        <v>0</v>
      </c>
      <c r="R48" s="152"/>
      <c r="S48" s="24">
        <v>0</v>
      </c>
    </row>
    <row r="49" spans="1:19" ht="12.75" customHeight="1" hidden="1">
      <c r="A49" s="32" t="s">
        <v>241</v>
      </c>
      <c r="B49" s="32"/>
      <c r="C49" s="24">
        <v>0</v>
      </c>
      <c r="D49" s="145"/>
      <c r="E49" s="24">
        <v>0</v>
      </c>
      <c r="F49" s="145"/>
      <c r="G49" s="24">
        <v>0</v>
      </c>
      <c r="H49" s="145"/>
      <c r="I49" s="24">
        <v>0</v>
      </c>
      <c r="J49" s="145"/>
      <c r="K49" s="24">
        <v>0</v>
      </c>
      <c r="L49" s="145"/>
      <c r="M49" s="24">
        <v>0</v>
      </c>
      <c r="N49" s="132"/>
      <c r="O49" s="132">
        <f t="shared" si="0"/>
        <v>0</v>
      </c>
      <c r="P49" s="132"/>
      <c r="Q49" s="24">
        <v>0</v>
      </c>
      <c r="R49" s="152"/>
      <c r="S49" s="24">
        <v>0</v>
      </c>
    </row>
    <row r="50" spans="1:19" ht="12.75" customHeight="1">
      <c r="A50" s="32" t="s">
        <v>46</v>
      </c>
      <c r="B50" s="32"/>
      <c r="C50" s="24">
        <v>9429779</v>
      </c>
      <c r="D50" s="145"/>
      <c r="E50" s="24">
        <v>9620057</v>
      </c>
      <c r="F50" s="145"/>
      <c r="G50" s="24">
        <v>0</v>
      </c>
      <c r="H50" s="145"/>
      <c r="I50" s="24">
        <v>6785075</v>
      </c>
      <c r="J50" s="145"/>
      <c r="K50" s="24">
        <v>3923292</v>
      </c>
      <c r="L50" s="145"/>
      <c r="M50" s="24">
        <v>0</v>
      </c>
      <c r="N50" s="132"/>
      <c r="O50" s="132">
        <f t="shared" si="0"/>
        <v>37129326</v>
      </c>
      <c r="P50" s="132"/>
      <c r="Q50" s="24">
        <v>66887529</v>
      </c>
      <c r="R50" s="152"/>
      <c r="S50" s="24">
        <f>3321668+4095000+43820+45881</f>
        <v>7506369</v>
      </c>
    </row>
    <row r="51" spans="1:19" ht="12.75" customHeight="1">
      <c r="A51" s="32" t="s">
        <v>47</v>
      </c>
      <c r="B51" s="32"/>
      <c r="C51" s="24">
        <v>15417736</v>
      </c>
      <c r="D51" s="145"/>
      <c r="E51" s="24">
        <v>0</v>
      </c>
      <c r="F51" s="145"/>
      <c r="G51" s="24">
        <v>0</v>
      </c>
      <c r="H51" s="145"/>
      <c r="I51" s="24">
        <v>3555170</v>
      </c>
      <c r="J51" s="145"/>
      <c r="K51" s="24">
        <v>20029661</v>
      </c>
      <c r="L51" s="145"/>
      <c r="M51" s="24">
        <v>10092</v>
      </c>
      <c r="N51" s="132"/>
      <c r="O51" s="132">
        <f t="shared" si="0"/>
        <v>2498169</v>
      </c>
      <c r="P51" s="132"/>
      <c r="Q51" s="24">
        <v>41510828</v>
      </c>
      <c r="R51" s="152"/>
      <c r="S51" s="24">
        <f>196488+7470000+162962+34483+13276+1012338</f>
        <v>8889547</v>
      </c>
    </row>
    <row r="52" spans="1:19" ht="12.75" customHeight="1">
      <c r="A52" s="32" t="s">
        <v>48</v>
      </c>
      <c r="B52" s="32"/>
      <c r="C52" s="24">
        <v>46499782</v>
      </c>
      <c r="D52" s="145"/>
      <c r="E52" s="24">
        <v>14629554</v>
      </c>
      <c r="F52" s="145"/>
      <c r="G52" s="24">
        <v>2712831</v>
      </c>
      <c r="H52" s="145"/>
      <c r="I52" s="24">
        <v>15064742</v>
      </c>
      <c r="J52" s="145"/>
      <c r="K52" s="24">
        <v>84205619</v>
      </c>
      <c r="L52" s="145"/>
      <c r="M52" s="24">
        <v>3121453</v>
      </c>
      <c r="N52" s="132"/>
      <c r="O52" s="132">
        <f t="shared" si="0"/>
        <v>15291312</v>
      </c>
      <c r="P52" s="132"/>
      <c r="Q52" s="24">
        <v>181525293</v>
      </c>
      <c r="R52" s="152"/>
      <c r="S52" s="24">
        <f>50109+806009+19975+10739710</f>
        <v>11615803</v>
      </c>
    </row>
    <row r="53" spans="1:19" ht="12.75" customHeight="1" hidden="1">
      <c r="A53" s="32" t="s">
        <v>170</v>
      </c>
      <c r="B53" s="32"/>
      <c r="C53" s="24">
        <v>0</v>
      </c>
      <c r="D53" s="145"/>
      <c r="E53" s="24">
        <v>0</v>
      </c>
      <c r="F53" s="145"/>
      <c r="G53" s="24">
        <v>0</v>
      </c>
      <c r="H53" s="145"/>
      <c r="I53" s="24">
        <v>0</v>
      </c>
      <c r="J53" s="145"/>
      <c r="K53" s="24">
        <v>0</v>
      </c>
      <c r="L53" s="145"/>
      <c r="M53" s="24">
        <v>0</v>
      </c>
      <c r="N53" s="132"/>
      <c r="O53" s="132">
        <f t="shared" si="0"/>
        <v>0</v>
      </c>
      <c r="P53" s="132"/>
      <c r="Q53" s="24">
        <v>0</v>
      </c>
      <c r="R53" s="152"/>
      <c r="S53" s="24">
        <v>0</v>
      </c>
    </row>
    <row r="54" spans="1:19" ht="12.75" customHeight="1">
      <c r="A54" s="32" t="s">
        <v>49</v>
      </c>
      <c r="B54" s="32"/>
      <c r="C54" s="24">
        <v>45285486</v>
      </c>
      <c r="D54" s="145"/>
      <c r="E54" s="24">
        <v>0</v>
      </c>
      <c r="F54" s="145"/>
      <c r="G54" s="24">
        <v>0</v>
      </c>
      <c r="H54" s="145"/>
      <c r="I54" s="24">
        <v>10833783</v>
      </c>
      <c r="J54" s="145"/>
      <c r="K54" s="24">
        <v>42013939</v>
      </c>
      <c r="L54" s="145"/>
      <c r="M54" s="24">
        <v>183479</v>
      </c>
      <c r="N54" s="132"/>
      <c r="O54" s="132">
        <f t="shared" si="0"/>
        <v>5382994</v>
      </c>
      <c r="P54" s="132"/>
      <c r="Q54" s="24">
        <v>103699681</v>
      </c>
      <c r="R54" s="152"/>
      <c r="S54" s="24">
        <f>2354437</f>
        <v>2354437</v>
      </c>
    </row>
    <row r="55" spans="1:19" ht="12.75" customHeight="1">
      <c r="A55" s="32" t="s">
        <v>50</v>
      </c>
      <c r="B55" s="32"/>
      <c r="C55" s="24">
        <v>15955843</v>
      </c>
      <c r="D55" s="145"/>
      <c r="E55" s="24">
        <v>0</v>
      </c>
      <c r="F55" s="145"/>
      <c r="G55" s="24">
        <v>0</v>
      </c>
      <c r="H55" s="145"/>
      <c r="I55" s="24">
        <v>3360038</v>
      </c>
      <c r="J55" s="145"/>
      <c r="K55" s="24">
        <v>14606095</v>
      </c>
      <c r="L55" s="145"/>
      <c r="M55" s="24">
        <v>42042</v>
      </c>
      <c r="N55" s="132"/>
      <c r="O55" s="132">
        <f t="shared" si="0"/>
        <v>3345414</v>
      </c>
      <c r="P55" s="132"/>
      <c r="Q55" s="24">
        <v>37309432</v>
      </c>
      <c r="R55" s="152"/>
      <c r="S55" s="24">
        <v>3712582</v>
      </c>
    </row>
    <row r="56" spans="1:19" ht="12.75" customHeight="1">
      <c r="A56" s="32" t="s">
        <v>246</v>
      </c>
      <c r="B56" s="32"/>
      <c r="C56" s="24">
        <v>44989392</v>
      </c>
      <c r="D56" s="145"/>
      <c r="E56" s="24">
        <v>26902969</v>
      </c>
      <c r="F56" s="145"/>
      <c r="G56" s="24">
        <v>0</v>
      </c>
      <c r="H56" s="145"/>
      <c r="I56" s="24">
        <v>18315674</v>
      </c>
      <c r="J56" s="145"/>
      <c r="K56" s="24">
        <v>114877355</v>
      </c>
      <c r="L56" s="145"/>
      <c r="M56" s="24">
        <v>432218</v>
      </c>
      <c r="N56" s="132"/>
      <c r="O56" s="132">
        <f t="shared" si="0"/>
        <v>21626627</v>
      </c>
      <c r="P56" s="132"/>
      <c r="Q56" s="24">
        <v>227144235</v>
      </c>
      <c r="R56" s="152"/>
      <c r="S56" s="24">
        <v>7457868</v>
      </c>
    </row>
    <row r="57" spans="1:19" ht="12.75" customHeight="1">
      <c r="A57" s="32" t="s">
        <v>183</v>
      </c>
      <c r="B57" s="32"/>
      <c r="C57" s="24">
        <v>91872963</v>
      </c>
      <c r="D57" s="145"/>
      <c r="E57" s="24">
        <v>68074116</v>
      </c>
      <c r="F57" s="145"/>
      <c r="G57" s="24">
        <v>4486693</v>
      </c>
      <c r="H57" s="145"/>
      <c r="I57" s="24">
        <v>35914422</v>
      </c>
      <c r="J57" s="145"/>
      <c r="K57" s="24">
        <v>246625024</v>
      </c>
      <c r="L57" s="145"/>
      <c r="M57" s="24">
        <v>3193448</v>
      </c>
      <c r="N57" s="132"/>
      <c r="O57" s="132">
        <f t="shared" si="0"/>
        <v>37072068</v>
      </c>
      <c r="P57" s="132"/>
      <c r="Q57" s="24">
        <v>487238734</v>
      </c>
      <c r="R57" s="152"/>
      <c r="S57" s="24">
        <f>78365000+68224+26859771+392263+157909</f>
        <v>105843167</v>
      </c>
    </row>
    <row r="58" spans="1:19" ht="12.75" customHeight="1" hidden="1">
      <c r="A58" s="32" t="s">
        <v>52</v>
      </c>
      <c r="B58" s="32"/>
      <c r="C58" s="24">
        <v>0</v>
      </c>
      <c r="D58" s="145"/>
      <c r="E58" s="24">
        <v>0</v>
      </c>
      <c r="F58" s="145"/>
      <c r="G58" s="24">
        <v>0</v>
      </c>
      <c r="H58" s="145"/>
      <c r="I58" s="24">
        <v>0</v>
      </c>
      <c r="J58" s="145"/>
      <c r="K58" s="24">
        <v>0</v>
      </c>
      <c r="L58" s="145"/>
      <c r="M58" s="24">
        <v>0</v>
      </c>
      <c r="N58" s="132"/>
      <c r="O58" s="132">
        <f t="shared" si="0"/>
        <v>0</v>
      </c>
      <c r="P58" s="132"/>
      <c r="Q58" s="24">
        <v>0</v>
      </c>
      <c r="R58" s="152"/>
      <c r="S58" s="24">
        <v>0</v>
      </c>
    </row>
    <row r="59" spans="1:19" ht="12.75" customHeight="1">
      <c r="A59" s="32" t="s">
        <v>53</v>
      </c>
      <c r="B59" s="32"/>
      <c r="C59" s="24">
        <v>29005633</v>
      </c>
      <c r="D59" s="145"/>
      <c r="E59" s="24">
        <v>27477880</v>
      </c>
      <c r="F59" s="145"/>
      <c r="G59" s="24">
        <v>0</v>
      </c>
      <c r="H59" s="145"/>
      <c r="I59" s="24">
        <v>14646974</v>
      </c>
      <c r="J59" s="145"/>
      <c r="K59" s="24">
        <v>104037903</v>
      </c>
      <c r="L59" s="145"/>
      <c r="M59" s="24">
        <v>291269</v>
      </c>
      <c r="N59" s="132"/>
      <c r="O59" s="132">
        <f t="shared" si="0"/>
        <v>14705670</v>
      </c>
      <c r="P59" s="132"/>
      <c r="Q59" s="24">
        <v>190165329</v>
      </c>
      <c r="R59" s="152"/>
      <c r="S59" s="24">
        <f>24800+14176000+143082+9212290</f>
        <v>23556172</v>
      </c>
    </row>
    <row r="60" spans="1:19" ht="12.75" customHeight="1">
      <c r="A60" s="32" t="s">
        <v>54</v>
      </c>
      <c r="B60" s="32"/>
      <c r="C60" s="24">
        <v>7257488</v>
      </c>
      <c r="D60" s="145"/>
      <c r="E60" s="24">
        <v>6505099</v>
      </c>
      <c r="F60" s="145"/>
      <c r="G60" s="24">
        <v>387965</v>
      </c>
      <c r="H60" s="145"/>
      <c r="I60" s="24">
        <v>4446692</v>
      </c>
      <c r="J60" s="145"/>
      <c r="K60" s="24">
        <v>27006057</v>
      </c>
      <c r="L60" s="145"/>
      <c r="M60" s="24">
        <v>207735</v>
      </c>
      <c r="N60" s="132"/>
      <c r="O60" s="132">
        <f t="shared" si="0"/>
        <v>3203751</v>
      </c>
      <c r="P60" s="132"/>
      <c r="Q60" s="24">
        <v>49014787</v>
      </c>
      <c r="R60" s="152"/>
      <c r="S60" s="24">
        <f>2180000+1375000+1089498</f>
        <v>4644498</v>
      </c>
    </row>
    <row r="61" spans="1:19" ht="12.75" customHeight="1">
      <c r="A61" s="32" t="s">
        <v>55</v>
      </c>
      <c r="B61" s="32"/>
      <c r="C61" s="24">
        <v>25420131</v>
      </c>
      <c r="D61" s="145"/>
      <c r="E61" s="24">
        <v>18688554</v>
      </c>
      <c r="F61" s="145"/>
      <c r="G61" s="24">
        <v>1413932</v>
      </c>
      <c r="H61" s="145"/>
      <c r="I61" s="24">
        <v>14745023</v>
      </c>
      <c r="J61" s="145"/>
      <c r="K61" s="24">
        <v>45475314</v>
      </c>
      <c r="L61" s="145"/>
      <c r="M61" s="24">
        <v>742851</v>
      </c>
      <c r="N61" s="132"/>
      <c r="O61" s="132">
        <f t="shared" si="0"/>
        <v>4942929</v>
      </c>
      <c r="P61" s="132"/>
      <c r="Q61" s="24">
        <v>111428734</v>
      </c>
      <c r="R61" s="152"/>
      <c r="S61" s="24">
        <f>30163+2134524</f>
        <v>2164687</v>
      </c>
    </row>
    <row r="62" spans="1:19" ht="12.75" customHeight="1" hidden="1">
      <c r="A62" s="32" t="s">
        <v>171</v>
      </c>
      <c r="B62" s="32"/>
      <c r="C62" s="24">
        <v>0</v>
      </c>
      <c r="D62" s="145"/>
      <c r="E62" s="24">
        <v>0</v>
      </c>
      <c r="F62" s="145"/>
      <c r="G62" s="24">
        <v>0</v>
      </c>
      <c r="H62" s="145"/>
      <c r="I62" s="24">
        <v>0</v>
      </c>
      <c r="J62" s="145"/>
      <c r="K62" s="24">
        <v>0</v>
      </c>
      <c r="L62" s="145"/>
      <c r="M62" s="24">
        <v>0</v>
      </c>
      <c r="N62" s="132"/>
      <c r="O62" s="132">
        <f t="shared" si="0"/>
        <v>0</v>
      </c>
      <c r="P62" s="132"/>
      <c r="Q62" s="24">
        <v>0</v>
      </c>
      <c r="R62" s="152"/>
      <c r="S62" s="24">
        <v>0</v>
      </c>
    </row>
    <row r="63" spans="1:19" ht="12.75" customHeight="1" hidden="1">
      <c r="A63" s="32" t="s">
        <v>56</v>
      </c>
      <c r="B63" s="32"/>
      <c r="C63" s="24">
        <v>0</v>
      </c>
      <c r="D63" s="145"/>
      <c r="E63" s="24">
        <v>0</v>
      </c>
      <c r="F63" s="145"/>
      <c r="G63" s="24">
        <v>0</v>
      </c>
      <c r="H63" s="145"/>
      <c r="I63" s="24">
        <v>0</v>
      </c>
      <c r="J63" s="145"/>
      <c r="K63" s="24">
        <v>0</v>
      </c>
      <c r="L63" s="145"/>
      <c r="M63" s="24">
        <v>0</v>
      </c>
      <c r="N63" s="132"/>
      <c r="O63" s="132">
        <f t="shared" si="0"/>
        <v>0</v>
      </c>
      <c r="P63" s="132"/>
      <c r="Q63" s="24">
        <v>0</v>
      </c>
      <c r="R63" s="152"/>
      <c r="S63" s="24">
        <v>0</v>
      </c>
    </row>
    <row r="64" spans="1:19" ht="12.75" customHeight="1">
      <c r="A64" s="32" t="s">
        <v>57</v>
      </c>
      <c r="B64" s="32"/>
      <c r="C64" s="24">
        <v>24642365</v>
      </c>
      <c r="D64" s="145"/>
      <c r="E64" s="24">
        <v>0</v>
      </c>
      <c r="F64" s="145"/>
      <c r="G64" s="24">
        <v>0</v>
      </c>
      <c r="H64" s="145"/>
      <c r="I64" s="24">
        <v>14402523</v>
      </c>
      <c r="J64" s="145"/>
      <c r="K64" s="24">
        <v>30947595</v>
      </c>
      <c r="L64" s="145"/>
      <c r="M64" s="24">
        <v>0</v>
      </c>
      <c r="N64" s="132"/>
      <c r="O64" s="132">
        <f t="shared" si="0"/>
        <v>3873240</v>
      </c>
      <c r="P64" s="132"/>
      <c r="Q64" s="24">
        <v>73865723</v>
      </c>
      <c r="R64" s="152"/>
      <c r="S64" s="24">
        <f>4570000+40979+714551</f>
        <v>5325530</v>
      </c>
    </row>
    <row r="65" spans="1:19" ht="12.75" customHeight="1">
      <c r="A65" s="32" t="s">
        <v>58</v>
      </c>
      <c r="B65" s="32"/>
      <c r="C65" s="24">
        <v>1437671</v>
      </c>
      <c r="D65" s="145"/>
      <c r="E65" s="24">
        <v>1456441</v>
      </c>
      <c r="F65" s="145"/>
      <c r="G65" s="24">
        <v>0</v>
      </c>
      <c r="H65" s="145"/>
      <c r="I65" s="24">
        <v>1914313</v>
      </c>
      <c r="J65" s="145"/>
      <c r="K65" s="24">
        <v>10666467</v>
      </c>
      <c r="L65" s="145"/>
      <c r="M65" s="24">
        <v>0</v>
      </c>
      <c r="N65" s="132"/>
      <c r="O65" s="132">
        <f t="shared" si="0"/>
        <v>689253</v>
      </c>
      <c r="P65" s="132"/>
      <c r="Q65" s="24">
        <v>16164145</v>
      </c>
      <c r="R65" s="152"/>
      <c r="S65" s="24">
        <f>720152+15180</f>
        <v>735332</v>
      </c>
    </row>
    <row r="66" spans="1:19" ht="12.75" customHeight="1">
      <c r="A66" s="32" t="s">
        <v>59</v>
      </c>
      <c r="B66" s="32"/>
      <c r="C66" s="24">
        <v>127825433</v>
      </c>
      <c r="D66" s="30"/>
      <c r="E66" s="24">
        <v>60821919</v>
      </c>
      <c r="F66" s="30"/>
      <c r="G66" s="24">
        <v>8395654</v>
      </c>
      <c r="H66" s="30"/>
      <c r="I66" s="24">
        <v>50901356</v>
      </c>
      <c r="J66" s="30"/>
      <c r="K66" s="24">
        <v>253093228</v>
      </c>
      <c r="L66" s="30"/>
      <c r="M66" s="24">
        <v>284050</v>
      </c>
      <c r="N66" s="16"/>
      <c r="O66" s="16">
        <f t="shared" si="0"/>
        <v>19280152</v>
      </c>
      <c r="P66" s="16"/>
      <c r="Q66" s="24">
        <v>520601792</v>
      </c>
      <c r="R66" s="43"/>
      <c r="S66" s="24">
        <f>89670+48327+10795000+317050+138108717</f>
        <v>149358764</v>
      </c>
    </row>
    <row r="67" spans="1:19" ht="12.75" customHeight="1" hidden="1">
      <c r="A67" s="32" t="s">
        <v>60</v>
      </c>
      <c r="B67" s="32"/>
      <c r="C67" s="24">
        <v>0</v>
      </c>
      <c r="D67" s="30"/>
      <c r="E67" s="24">
        <v>0</v>
      </c>
      <c r="F67" s="30"/>
      <c r="G67" s="24">
        <v>0</v>
      </c>
      <c r="H67" s="30"/>
      <c r="I67" s="24">
        <v>0</v>
      </c>
      <c r="J67" s="30"/>
      <c r="K67" s="24">
        <v>0</v>
      </c>
      <c r="L67" s="30"/>
      <c r="M67" s="24">
        <v>0</v>
      </c>
      <c r="N67" s="16"/>
      <c r="O67" s="16">
        <f t="shared" si="0"/>
        <v>0</v>
      </c>
      <c r="P67" s="16"/>
      <c r="Q67" s="24">
        <v>0</v>
      </c>
      <c r="R67" s="43"/>
      <c r="S67" s="24">
        <v>0</v>
      </c>
    </row>
    <row r="68" spans="1:19" ht="12.75" customHeight="1">
      <c r="A68" s="32" t="s">
        <v>97</v>
      </c>
      <c r="B68" s="32"/>
      <c r="C68" s="24">
        <v>4079637</v>
      </c>
      <c r="D68" s="30"/>
      <c r="E68" s="24">
        <v>2692984</v>
      </c>
      <c r="F68" s="30"/>
      <c r="G68" s="24">
        <v>0</v>
      </c>
      <c r="H68" s="30"/>
      <c r="I68" s="24">
        <v>1580703</v>
      </c>
      <c r="J68" s="30"/>
      <c r="K68" s="24">
        <v>16997423</v>
      </c>
      <c r="L68" s="30"/>
      <c r="M68" s="24">
        <v>0</v>
      </c>
      <c r="N68" s="16"/>
      <c r="O68" s="16">
        <f t="shared" si="0"/>
        <v>2822398</v>
      </c>
      <c r="P68" s="16"/>
      <c r="Q68" s="24">
        <v>28173145</v>
      </c>
      <c r="R68" s="43"/>
      <c r="S68" s="24">
        <f>75792+323663</f>
        <v>399455</v>
      </c>
    </row>
    <row r="69" spans="1:19" ht="12.75" customHeight="1">
      <c r="A69" s="32" t="s">
        <v>61</v>
      </c>
      <c r="B69" s="32"/>
      <c r="C69" s="24">
        <v>16015733</v>
      </c>
      <c r="D69" s="30"/>
      <c r="E69" s="24">
        <v>16343578</v>
      </c>
      <c r="F69" s="30"/>
      <c r="G69" s="24">
        <v>470739</v>
      </c>
      <c r="H69" s="30"/>
      <c r="I69" s="24">
        <v>8933314</v>
      </c>
      <c r="J69" s="30"/>
      <c r="K69" s="24">
        <v>32818530</v>
      </c>
      <c r="L69" s="30"/>
      <c r="M69" s="24">
        <v>40781</v>
      </c>
      <c r="N69" s="16"/>
      <c r="O69" s="16">
        <f t="shared" si="0"/>
        <v>4022764</v>
      </c>
      <c r="P69" s="16"/>
      <c r="Q69" s="24">
        <v>78645439</v>
      </c>
      <c r="R69" s="43"/>
      <c r="S69" s="24">
        <f>467000+4236+858250+3407658+28716</f>
        <v>4765860</v>
      </c>
    </row>
    <row r="70" spans="1:19" ht="12.75" customHeight="1">
      <c r="A70" s="32" t="s">
        <v>62</v>
      </c>
      <c r="B70" s="32"/>
      <c r="C70" s="24">
        <v>1801305</v>
      </c>
      <c r="D70" s="30"/>
      <c r="E70" s="24">
        <v>1144526</v>
      </c>
      <c r="F70" s="30"/>
      <c r="G70" s="24">
        <v>0</v>
      </c>
      <c r="H70" s="30"/>
      <c r="I70" s="24">
        <v>1767898</v>
      </c>
      <c r="J70" s="30"/>
      <c r="K70" s="24">
        <v>7548731</v>
      </c>
      <c r="L70" s="30"/>
      <c r="M70" s="24">
        <v>0</v>
      </c>
      <c r="N70" s="16"/>
      <c r="O70" s="16">
        <f t="shared" si="0"/>
        <v>556820</v>
      </c>
      <c r="P70" s="16"/>
      <c r="Q70" s="24">
        <v>12819280</v>
      </c>
      <c r="R70" s="43"/>
      <c r="S70" s="24">
        <f>19186+13500+16964+115725</f>
        <v>165375</v>
      </c>
    </row>
    <row r="71" spans="1:19" ht="12.75" customHeight="1" hidden="1">
      <c r="A71" s="32" t="s">
        <v>63</v>
      </c>
      <c r="B71" s="32"/>
      <c r="C71" s="24">
        <v>0</v>
      </c>
      <c r="D71" s="30"/>
      <c r="E71" s="24">
        <v>0</v>
      </c>
      <c r="F71" s="30"/>
      <c r="G71" s="24">
        <v>0</v>
      </c>
      <c r="H71" s="30"/>
      <c r="I71" s="24">
        <v>0</v>
      </c>
      <c r="J71" s="30"/>
      <c r="K71" s="24">
        <v>0</v>
      </c>
      <c r="L71" s="30"/>
      <c r="M71" s="24">
        <v>0</v>
      </c>
      <c r="N71" s="16"/>
      <c r="O71" s="16">
        <f t="shared" si="0"/>
        <v>0</v>
      </c>
      <c r="P71" s="16"/>
      <c r="Q71" s="24">
        <v>0</v>
      </c>
      <c r="R71" s="43"/>
      <c r="S71" s="24">
        <v>0</v>
      </c>
    </row>
    <row r="72" spans="1:19" ht="12.75" customHeight="1" hidden="1">
      <c r="A72" s="32" t="s">
        <v>132</v>
      </c>
      <c r="B72" s="32"/>
      <c r="C72" s="24">
        <v>0</v>
      </c>
      <c r="D72" s="30"/>
      <c r="E72" s="24">
        <v>0</v>
      </c>
      <c r="F72" s="30"/>
      <c r="G72" s="24">
        <v>0</v>
      </c>
      <c r="H72" s="30"/>
      <c r="I72" s="24">
        <v>0</v>
      </c>
      <c r="J72" s="30"/>
      <c r="K72" s="24">
        <v>0</v>
      </c>
      <c r="L72" s="30"/>
      <c r="M72" s="24">
        <v>0</v>
      </c>
      <c r="N72" s="16"/>
      <c r="O72" s="16">
        <f>Q72-C72-E72-G72-I72-K72-M72</f>
        <v>0</v>
      </c>
      <c r="P72" s="16"/>
      <c r="Q72" s="24">
        <v>0</v>
      </c>
      <c r="R72" s="43"/>
      <c r="S72" s="24">
        <v>0</v>
      </c>
    </row>
    <row r="73" spans="1:19" ht="12.75" customHeight="1" hidden="1">
      <c r="A73" s="32" t="s">
        <v>64</v>
      </c>
      <c r="B73" s="32"/>
      <c r="C73" s="24">
        <v>0</v>
      </c>
      <c r="D73" s="30"/>
      <c r="E73" s="24">
        <v>0</v>
      </c>
      <c r="F73" s="30"/>
      <c r="G73" s="24">
        <v>0</v>
      </c>
      <c r="H73" s="30"/>
      <c r="I73" s="24">
        <v>0</v>
      </c>
      <c r="J73" s="30"/>
      <c r="K73" s="24">
        <v>0</v>
      </c>
      <c r="L73" s="30"/>
      <c r="M73" s="24">
        <v>0</v>
      </c>
      <c r="N73" s="16"/>
      <c r="O73" s="16">
        <f>Q73-C73-E73-G73-I73-K73-M73</f>
        <v>0</v>
      </c>
      <c r="P73" s="16"/>
      <c r="Q73" s="24">
        <v>0</v>
      </c>
      <c r="R73" s="43"/>
      <c r="S73" s="24">
        <v>0</v>
      </c>
    </row>
    <row r="74" spans="1:19" ht="12.75" customHeight="1">
      <c r="A74" s="32" t="s">
        <v>65</v>
      </c>
      <c r="B74" s="32"/>
      <c r="C74" s="24">
        <v>6593070</v>
      </c>
      <c r="D74" s="139"/>
      <c r="E74" s="24">
        <v>5910136</v>
      </c>
      <c r="F74" s="139"/>
      <c r="G74" s="24">
        <v>0</v>
      </c>
      <c r="H74" s="139"/>
      <c r="I74" s="24">
        <v>3851010</v>
      </c>
      <c r="J74" s="139"/>
      <c r="K74" s="24">
        <v>18572348</v>
      </c>
      <c r="L74" s="139"/>
      <c r="M74" s="24">
        <v>52119</v>
      </c>
      <c r="N74" s="140"/>
      <c r="O74" s="140">
        <f aca="true" t="shared" si="1" ref="O74:O98">Q74-C74-E74-G74-I74-K74-M74</f>
        <v>1701176</v>
      </c>
      <c r="P74" s="140"/>
      <c r="Q74" s="24">
        <v>36679859</v>
      </c>
      <c r="R74" s="141"/>
      <c r="S74" s="24">
        <f>9016+350000+2995615+398675</f>
        <v>3753306</v>
      </c>
    </row>
    <row r="75" spans="1:19" ht="12.75" customHeight="1">
      <c r="A75" s="32" t="s">
        <v>66</v>
      </c>
      <c r="B75" s="32"/>
      <c r="C75" s="24">
        <v>7512631</v>
      </c>
      <c r="D75" s="30"/>
      <c r="E75" s="24">
        <v>0</v>
      </c>
      <c r="F75" s="30"/>
      <c r="G75" s="24">
        <v>0</v>
      </c>
      <c r="H75" s="30"/>
      <c r="I75" s="24">
        <v>2501035</v>
      </c>
      <c r="J75" s="30"/>
      <c r="K75" s="24">
        <v>15027293</v>
      </c>
      <c r="L75" s="30"/>
      <c r="M75" s="24">
        <v>0</v>
      </c>
      <c r="N75" s="16"/>
      <c r="O75" s="16">
        <f t="shared" si="1"/>
        <v>1567937</v>
      </c>
      <c r="P75" s="16"/>
      <c r="Q75" s="24">
        <v>26608896</v>
      </c>
      <c r="R75" s="43"/>
      <c r="S75" s="24">
        <v>1178173</v>
      </c>
    </row>
    <row r="76" spans="1:19" ht="12.75" customHeight="1">
      <c r="A76" s="32" t="s">
        <v>67</v>
      </c>
      <c r="B76" s="32"/>
      <c r="C76" s="24">
        <v>24796479</v>
      </c>
      <c r="D76" s="30"/>
      <c r="E76" s="24">
        <v>16017457</v>
      </c>
      <c r="F76" s="30"/>
      <c r="G76" s="24">
        <v>0</v>
      </c>
      <c r="H76" s="30"/>
      <c r="I76" s="24">
        <v>15261866</v>
      </c>
      <c r="J76" s="30"/>
      <c r="K76" s="24">
        <v>52669012</v>
      </c>
      <c r="L76" s="30"/>
      <c r="M76" s="24">
        <v>169642</v>
      </c>
      <c r="N76" s="16"/>
      <c r="O76" s="16">
        <f t="shared" si="1"/>
        <v>6504705</v>
      </c>
      <c r="P76" s="16"/>
      <c r="Q76" s="24">
        <v>115419161</v>
      </c>
      <c r="R76" s="43"/>
      <c r="S76" s="24">
        <f>10165+10316000+208964+1853660</f>
        <v>12388789</v>
      </c>
    </row>
    <row r="77" spans="1:19" ht="12.75" customHeight="1">
      <c r="A77" s="32" t="s">
        <v>68</v>
      </c>
      <c r="B77" s="32"/>
      <c r="C77" s="24">
        <v>4356280</v>
      </c>
      <c r="D77" s="30"/>
      <c r="E77" s="24">
        <v>4444871</v>
      </c>
      <c r="F77" s="30"/>
      <c r="G77" s="24">
        <v>0</v>
      </c>
      <c r="H77" s="30"/>
      <c r="I77" s="24">
        <v>3356631</v>
      </c>
      <c r="J77" s="30"/>
      <c r="K77" s="24">
        <v>16092034</v>
      </c>
      <c r="L77" s="30"/>
      <c r="M77" s="24">
        <v>172875</v>
      </c>
      <c r="N77" s="16"/>
      <c r="O77" s="16">
        <f t="shared" si="1"/>
        <v>807214</v>
      </c>
      <c r="P77" s="16"/>
      <c r="Q77" s="24">
        <v>29229905</v>
      </c>
      <c r="R77" s="43"/>
      <c r="S77" s="24">
        <f>1113007+170147+5625</f>
        <v>1288779</v>
      </c>
    </row>
    <row r="78" spans="3:19" ht="12.75" customHeight="1">
      <c r="C78" s="24"/>
      <c r="E78" s="24"/>
      <c r="G78" s="24"/>
      <c r="I78" s="24"/>
      <c r="K78" s="24"/>
      <c r="M78" s="24"/>
      <c r="S78" s="24">
        <v>0</v>
      </c>
    </row>
    <row r="79" spans="1:19" ht="12.75" customHeight="1">
      <c r="A79" s="32" t="s">
        <v>229</v>
      </c>
      <c r="B79" s="32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16"/>
      <c r="O79" s="16"/>
      <c r="P79" s="16"/>
      <c r="Q79" s="30" t="s">
        <v>249</v>
      </c>
      <c r="R79" s="43"/>
      <c r="S79" s="24">
        <v>0</v>
      </c>
    </row>
    <row r="80" spans="1:19" ht="12.75" customHeight="1" hidden="1">
      <c r="A80" s="32" t="s">
        <v>176</v>
      </c>
      <c r="B80" s="32"/>
      <c r="C80" s="24">
        <v>0</v>
      </c>
      <c r="D80" s="30"/>
      <c r="E80" s="24">
        <v>0</v>
      </c>
      <c r="F80" s="30"/>
      <c r="G80" s="24">
        <v>0</v>
      </c>
      <c r="H80" s="30"/>
      <c r="I80" s="24">
        <v>0</v>
      </c>
      <c r="J80" s="30"/>
      <c r="K80" s="24">
        <v>0</v>
      </c>
      <c r="L80" s="30"/>
      <c r="M80" s="24">
        <v>0</v>
      </c>
      <c r="N80" s="16"/>
      <c r="O80" s="16">
        <f t="shared" si="1"/>
        <v>0</v>
      </c>
      <c r="P80" s="16"/>
      <c r="Q80" s="24">
        <v>0</v>
      </c>
      <c r="R80" s="43"/>
      <c r="S80" s="24">
        <v>0</v>
      </c>
    </row>
    <row r="81" spans="1:19" ht="12.75" customHeight="1">
      <c r="A81" s="32" t="s">
        <v>178</v>
      </c>
      <c r="B81" s="32"/>
      <c r="C81" s="44">
        <v>18209856</v>
      </c>
      <c r="D81" s="47"/>
      <c r="E81" s="44">
        <v>14208369</v>
      </c>
      <c r="F81" s="47"/>
      <c r="G81" s="44">
        <v>0</v>
      </c>
      <c r="H81" s="47"/>
      <c r="I81" s="44">
        <v>11839854</v>
      </c>
      <c r="J81" s="47"/>
      <c r="K81" s="44">
        <v>57466536</v>
      </c>
      <c r="L81" s="47"/>
      <c r="M81" s="44">
        <v>1050525</v>
      </c>
      <c r="N81" s="46"/>
      <c r="O81" s="46">
        <f t="shared" si="1"/>
        <v>3183248</v>
      </c>
      <c r="P81" s="46"/>
      <c r="Q81" s="44">
        <v>105958388</v>
      </c>
      <c r="R81" s="142"/>
      <c r="S81" s="24">
        <f>211895+502387+102068+489891+12175000+87637+3209008</f>
        <v>16777886</v>
      </c>
    </row>
    <row r="82" spans="1:19" ht="12.75" customHeight="1">
      <c r="A82" s="32" t="s">
        <v>69</v>
      </c>
      <c r="B82" s="32"/>
      <c r="C82" s="24">
        <v>8914739</v>
      </c>
      <c r="D82" s="30"/>
      <c r="E82" s="24">
        <v>11951370</v>
      </c>
      <c r="F82" s="30"/>
      <c r="G82" s="24">
        <v>0</v>
      </c>
      <c r="H82" s="30"/>
      <c r="I82" s="24">
        <v>7092192</v>
      </c>
      <c r="J82" s="30"/>
      <c r="K82" s="24">
        <v>25237942</v>
      </c>
      <c r="L82" s="30"/>
      <c r="M82" s="24">
        <v>27855</v>
      </c>
      <c r="N82" s="16"/>
      <c r="O82" s="16">
        <f t="shared" si="1"/>
        <v>2623600</v>
      </c>
      <c r="P82" s="16"/>
      <c r="Q82" s="24">
        <v>55847698</v>
      </c>
      <c r="R82" s="43"/>
      <c r="S82" s="24">
        <f>61833+7757103</f>
        <v>7818936</v>
      </c>
    </row>
    <row r="83" spans="1:19" ht="12.75" customHeight="1">
      <c r="A83" s="32" t="s">
        <v>98</v>
      </c>
      <c r="B83" s="32"/>
      <c r="C83" s="24">
        <v>6913682</v>
      </c>
      <c r="D83" s="30"/>
      <c r="E83" s="24">
        <v>8009396</v>
      </c>
      <c r="F83" s="30"/>
      <c r="G83" s="24">
        <v>0</v>
      </c>
      <c r="H83" s="30"/>
      <c r="I83" s="24">
        <v>5510797</v>
      </c>
      <c r="J83" s="30"/>
      <c r="K83" s="24">
        <v>24292437</v>
      </c>
      <c r="L83" s="30"/>
      <c r="M83" s="24">
        <v>362732</v>
      </c>
      <c r="N83" s="16"/>
      <c r="O83" s="16">
        <f t="shared" si="1"/>
        <v>4373964</v>
      </c>
      <c r="P83" s="16"/>
      <c r="Q83" s="24">
        <v>49463008</v>
      </c>
      <c r="R83" s="43"/>
      <c r="S83" s="24">
        <f>8194+152008+975040</f>
        <v>1135242</v>
      </c>
    </row>
    <row r="84" spans="1:19" ht="12.75" customHeight="1">
      <c r="A84" s="32" t="s">
        <v>70</v>
      </c>
      <c r="B84" s="32"/>
      <c r="C84" s="24">
        <v>5706286</v>
      </c>
      <c r="D84" s="30"/>
      <c r="E84" s="24">
        <v>10048183</v>
      </c>
      <c r="F84" s="30"/>
      <c r="G84" s="24">
        <v>310015</v>
      </c>
      <c r="H84" s="30"/>
      <c r="I84" s="24">
        <v>5376653</v>
      </c>
      <c r="J84" s="30"/>
      <c r="K84" s="24">
        <v>29267248</v>
      </c>
      <c r="L84" s="30"/>
      <c r="M84" s="24">
        <v>0</v>
      </c>
      <c r="N84" s="16"/>
      <c r="O84" s="16">
        <f t="shared" si="1"/>
        <v>2549701</v>
      </c>
      <c r="P84" s="16"/>
      <c r="Q84" s="24">
        <v>53258086</v>
      </c>
      <c r="R84" s="43"/>
      <c r="S84" s="24">
        <f>324775+2278097</f>
        <v>2602872</v>
      </c>
    </row>
    <row r="85" spans="1:19" ht="12.75" customHeight="1">
      <c r="A85" s="32" t="s">
        <v>71</v>
      </c>
      <c r="B85" s="32"/>
      <c r="C85" s="24">
        <v>5243866</v>
      </c>
      <c r="D85" s="30"/>
      <c r="E85" s="24">
        <v>6895795</v>
      </c>
      <c r="F85" s="30"/>
      <c r="G85" s="24">
        <v>0</v>
      </c>
      <c r="H85" s="30"/>
      <c r="I85" s="24">
        <v>3564114</v>
      </c>
      <c r="J85" s="30"/>
      <c r="K85" s="24">
        <v>28073354</v>
      </c>
      <c r="L85" s="30"/>
      <c r="M85" s="24">
        <v>261807</v>
      </c>
      <c r="N85" s="16"/>
      <c r="O85" s="16">
        <f t="shared" si="1"/>
        <v>1900101</v>
      </c>
      <c r="P85" s="16"/>
      <c r="Q85" s="24">
        <v>45939037</v>
      </c>
      <c r="R85" s="43"/>
      <c r="S85" s="24">
        <f>3175+21188+2188728</f>
        <v>2213091</v>
      </c>
    </row>
    <row r="86" spans="1:19" ht="12.75" customHeight="1">
      <c r="A86" s="32" t="s">
        <v>72</v>
      </c>
      <c r="B86" s="32"/>
      <c r="C86" s="24">
        <v>6162874</v>
      </c>
      <c r="D86" s="30"/>
      <c r="E86" s="24">
        <v>6893973</v>
      </c>
      <c r="F86" s="30"/>
      <c r="G86" s="24">
        <v>0</v>
      </c>
      <c r="H86" s="30"/>
      <c r="I86" s="24">
        <v>5545287</v>
      </c>
      <c r="J86" s="30"/>
      <c r="K86" s="24">
        <v>16464135</v>
      </c>
      <c r="L86" s="30"/>
      <c r="M86" s="24">
        <v>323512</v>
      </c>
      <c r="N86" s="16"/>
      <c r="O86" s="16">
        <f t="shared" si="1"/>
        <v>1656866</v>
      </c>
      <c r="P86" s="16"/>
      <c r="Q86" s="24">
        <v>37046647</v>
      </c>
      <c r="R86" s="43"/>
      <c r="S86" s="24">
        <f>13371+326000+940246</f>
        <v>1279617</v>
      </c>
    </row>
    <row r="87" spans="1:19" ht="12.75" customHeight="1">
      <c r="A87" s="32" t="s">
        <v>73</v>
      </c>
      <c r="B87" s="32"/>
      <c r="C87" s="24">
        <v>55600739</v>
      </c>
      <c r="D87" s="30"/>
      <c r="E87" s="24">
        <v>22357457</v>
      </c>
      <c r="F87" s="30"/>
      <c r="G87" s="24">
        <v>0</v>
      </c>
      <c r="H87" s="30"/>
      <c r="I87" s="24">
        <v>24866762</v>
      </c>
      <c r="J87" s="30"/>
      <c r="K87" s="24">
        <v>151962425</v>
      </c>
      <c r="L87" s="30"/>
      <c r="M87" s="24">
        <v>539945</v>
      </c>
      <c r="N87" s="16"/>
      <c r="O87" s="16">
        <f t="shared" si="1"/>
        <v>10560489</v>
      </c>
      <c r="P87" s="16"/>
      <c r="Q87" s="24">
        <v>265887817</v>
      </c>
      <c r="R87" s="43"/>
      <c r="S87" s="24">
        <f>872419+1723072+855000+79881+19433</f>
        <v>3549805</v>
      </c>
    </row>
    <row r="88" spans="1:19" ht="12.75" customHeight="1" hidden="1">
      <c r="A88" s="32" t="s">
        <v>74</v>
      </c>
      <c r="B88" s="32"/>
      <c r="C88" s="24">
        <v>0</v>
      </c>
      <c r="D88" s="30"/>
      <c r="E88" s="24">
        <v>0</v>
      </c>
      <c r="F88" s="30"/>
      <c r="G88" s="24">
        <v>0</v>
      </c>
      <c r="H88" s="30"/>
      <c r="I88" s="24">
        <v>0</v>
      </c>
      <c r="J88" s="30"/>
      <c r="K88" s="24">
        <v>0</v>
      </c>
      <c r="L88" s="30"/>
      <c r="M88" s="24">
        <v>0</v>
      </c>
      <c r="N88" s="16"/>
      <c r="O88" s="16">
        <f t="shared" si="1"/>
        <v>0</v>
      </c>
      <c r="P88" s="16"/>
      <c r="Q88" s="24"/>
      <c r="R88" s="43"/>
      <c r="S88" s="24">
        <v>0</v>
      </c>
    </row>
    <row r="89" spans="1:19" ht="12.75" customHeight="1">
      <c r="A89" s="32" t="s">
        <v>75</v>
      </c>
      <c r="B89" s="32"/>
      <c r="C89" s="24">
        <v>36167514</v>
      </c>
      <c r="D89" s="30"/>
      <c r="E89" s="24">
        <v>20637988</v>
      </c>
      <c r="F89" s="30"/>
      <c r="G89" s="24">
        <v>0</v>
      </c>
      <c r="H89" s="30"/>
      <c r="I89" s="24">
        <v>9713971</v>
      </c>
      <c r="J89" s="30"/>
      <c r="K89" s="24">
        <v>86403635</v>
      </c>
      <c r="L89" s="30"/>
      <c r="M89" s="24">
        <v>0</v>
      </c>
      <c r="N89" s="16"/>
      <c r="O89" s="16">
        <f t="shared" si="1"/>
        <v>10110265</v>
      </c>
      <c r="P89" s="16"/>
      <c r="Q89" s="24">
        <v>163033373</v>
      </c>
      <c r="R89" s="43"/>
      <c r="S89" s="24">
        <f>1260000+47278+4388060</f>
        <v>5695338</v>
      </c>
    </row>
    <row r="90" spans="1:19" ht="12.75" customHeight="1">
      <c r="A90" s="32" t="s">
        <v>76</v>
      </c>
      <c r="B90" s="32"/>
      <c r="C90" s="24">
        <v>9461889</v>
      </c>
      <c r="D90" s="30"/>
      <c r="E90" s="24">
        <v>9099568</v>
      </c>
      <c r="F90" s="30"/>
      <c r="G90" s="24">
        <v>0</v>
      </c>
      <c r="H90" s="30"/>
      <c r="I90" s="24">
        <v>5520794</v>
      </c>
      <c r="J90" s="30"/>
      <c r="K90" s="24">
        <v>26619330</v>
      </c>
      <c r="L90" s="30"/>
      <c r="M90" s="24">
        <v>0</v>
      </c>
      <c r="N90" s="16"/>
      <c r="O90" s="16">
        <f t="shared" si="1"/>
        <v>3106100</v>
      </c>
      <c r="P90" s="16"/>
      <c r="Q90" s="24">
        <v>53807681</v>
      </c>
      <c r="R90" s="43"/>
      <c r="S90" s="24">
        <f>1450000+7752953</f>
        <v>9202953</v>
      </c>
    </row>
    <row r="91" spans="1:19" s="25" customFormat="1" ht="12.75" customHeight="1">
      <c r="A91" s="24" t="s">
        <v>77</v>
      </c>
      <c r="B91" s="24"/>
      <c r="C91" s="24">
        <v>10774173</v>
      </c>
      <c r="D91" s="30"/>
      <c r="E91" s="24">
        <v>9232138</v>
      </c>
      <c r="F91" s="30"/>
      <c r="G91" s="24">
        <v>0</v>
      </c>
      <c r="H91" s="30"/>
      <c r="I91" s="24">
        <v>5270357</v>
      </c>
      <c r="J91" s="30"/>
      <c r="K91" s="24">
        <v>22216858</v>
      </c>
      <c r="L91" s="30"/>
      <c r="M91" s="24">
        <v>221038</v>
      </c>
      <c r="N91" s="16"/>
      <c r="O91" s="16">
        <f t="shared" si="1"/>
        <v>4112768</v>
      </c>
      <c r="P91" s="16"/>
      <c r="Q91" s="24">
        <v>51827332</v>
      </c>
      <c r="R91" s="43"/>
      <c r="S91" s="24">
        <f>920000+1109452</f>
        <v>2029452</v>
      </c>
    </row>
    <row r="92" spans="1:19" ht="12.75" customHeight="1">
      <c r="A92" s="32" t="s">
        <v>78</v>
      </c>
      <c r="B92" s="32"/>
      <c r="C92" s="24">
        <v>2499250</v>
      </c>
      <c r="D92" s="30"/>
      <c r="E92" s="24">
        <v>3695543</v>
      </c>
      <c r="F92" s="30"/>
      <c r="G92" s="24">
        <f>101821</f>
        <v>101821</v>
      </c>
      <c r="H92" s="30"/>
      <c r="I92" s="24">
        <v>2359702</v>
      </c>
      <c r="J92" s="30"/>
      <c r="K92" s="24">
        <v>11928271</v>
      </c>
      <c r="L92" s="30"/>
      <c r="M92" s="24">
        <v>182553</v>
      </c>
      <c r="N92" s="16"/>
      <c r="O92" s="16">
        <f t="shared" si="1"/>
        <v>1871935</v>
      </c>
      <c r="P92" s="16"/>
      <c r="Q92" s="24">
        <v>22639075</v>
      </c>
      <c r="R92" s="43"/>
      <c r="S92" s="24">
        <f>203911+120992+389971</f>
        <v>714874</v>
      </c>
    </row>
    <row r="93" spans="1:19" ht="12.75" customHeight="1" hidden="1">
      <c r="A93" s="32" t="s">
        <v>79</v>
      </c>
      <c r="B93" s="32"/>
      <c r="C93" s="24">
        <v>0</v>
      </c>
      <c r="D93" s="30"/>
      <c r="E93" s="24">
        <v>0</v>
      </c>
      <c r="F93" s="30"/>
      <c r="G93" s="24">
        <v>0</v>
      </c>
      <c r="H93" s="30"/>
      <c r="I93" s="24">
        <v>0</v>
      </c>
      <c r="J93" s="30"/>
      <c r="K93" s="24">
        <v>0</v>
      </c>
      <c r="L93" s="30"/>
      <c r="M93" s="24">
        <v>0</v>
      </c>
      <c r="N93" s="16"/>
      <c r="O93" s="16">
        <f t="shared" si="1"/>
        <v>0</v>
      </c>
      <c r="P93" s="16"/>
      <c r="Q93" s="24">
        <v>0</v>
      </c>
      <c r="R93" s="43"/>
      <c r="S93" s="24">
        <v>0</v>
      </c>
    </row>
    <row r="94" spans="1:19" ht="12.75" customHeight="1">
      <c r="A94" s="32" t="s">
        <v>80</v>
      </c>
      <c r="B94" s="32"/>
      <c r="C94" s="24">
        <v>62172911</v>
      </c>
      <c r="D94" s="30"/>
      <c r="E94" s="24">
        <v>0</v>
      </c>
      <c r="F94" s="30"/>
      <c r="G94" s="24">
        <v>0</v>
      </c>
      <c r="H94" s="30"/>
      <c r="I94" s="24">
        <v>12906906</v>
      </c>
      <c r="J94" s="30"/>
      <c r="K94" s="24">
        <v>36870953</v>
      </c>
      <c r="L94" s="30"/>
      <c r="M94" s="24">
        <v>2555173</v>
      </c>
      <c r="N94" s="16"/>
      <c r="O94" s="16">
        <f t="shared" si="1"/>
        <v>6751755</v>
      </c>
      <c r="P94" s="16"/>
      <c r="Q94" s="24">
        <v>121257698</v>
      </c>
      <c r="R94" s="43"/>
      <c r="S94" s="24">
        <f>4725000+6354321</f>
        <v>11079321</v>
      </c>
    </row>
    <row r="95" spans="1:19" ht="12.75" customHeight="1">
      <c r="A95" s="32" t="s">
        <v>81</v>
      </c>
      <c r="B95" s="32"/>
      <c r="C95" s="24">
        <v>9279710</v>
      </c>
      <c r="D95" s="30"/>
      <c r="E95" s="24">
        <v>9811460</v>
      </c>
      <c r="F95" s="30"/>
      <c r="G95" s="24">
        <v>0</v>
      </c>
      <c r="H95" s="30"/>
      <c r="I95" s="24">
        <v>5160128</v>
      </c>
      <c r="J95" s="30"/>
      <c r="K95" s="24">
        <v>27732582</v>
      </c>
      <c r="L95" s="30"/>
      <c r="M95" s="24">
        <v>0</v>
      </c>
      <c r="N95" s="16"/>
      <c r="O95" s="16">
        <f t="shared" si="1"/>
        <v>2554837</v>
      </c>
      <c r="P95" s="16"/>
      <c r="Q95" s="24">
        <v>54538717</v>
      </c>
      <c r="R95" s="43"/>
      <c r="S95" s="24">
        <f>28575+39611+16355+1793372</f>
        <v>1877913</v>
      </c>
    </row>
    <row r="96" spans="1:19" ht="12.75" customHeight="1">
      <c r="A96" s="32" t="s">
        <v>82</v>
      </c>
      <c r="B96" s="32"/>
      <c r="C96" s="24">
        <v>14075404</v>
      </c>
      <c r="D96" s="30"/>
      <c r="E96" s="24">
        <v>9332521</v>
      </c>
      <c r="F96" s="30"/>
      <c r="G96" s="24">
        <v>0</v>
      </c>
      <c r="H96" s="30"/>
      <c r="I96" s="24">
        <v>11276608</v>
      </c>
      <c r="J96" s="30"/>
      <c r="K96" s="24">
        <v>31034578</v>
      </c>
      <c r="L96" s="30"/>
      <c r="M96" s="24">
        <v>2335</v>
      </c>
      <c r="N96" s="16"/>
      <c r="O96" s="16">
        <f t="shared" si="1"/>
        <v>4999615</v>
      </c>
      <c r="P96" s="16"/>
      <c r="Q96" s="24">
        <v>70721061</v>
      </c>
      <c r="R96" s="43"/>
      <c r="S96" s="24">
        <f>56+1744500</f>
        <v>1744556</v>
      </c>
    </row>
    <row r="97" spans="1:19" ht="12.75" customHeight="1" hidden="1">
      <c r="A97" s="32" t="s">
        <v>174</v>
      </c>
      <c r="B97" s="32"/>
      <c r="C97" s="24">
        <v>0</v>
      </c>
      <c r="D97" s="30"/>
      <c r="E97" s="24">
        <v>0</v>
      </c>
      <c r="F97" s="30"/>
      <c r="G97" s="24">
        <v>0</v>
      </c>
      <c r="H97" s="30"/>
      <c r="I97" s="24">
        <v>0</v>
      </c>
      <c r="J97" s="30"/>
      <c r="K97" s="24">
        <v>0</v>
      </c>
      <c r="L97" s="30"/>
      <c r="M97" s="24">
        <v>0</v>
      </c>
      <c r="N97" s="16"/>
      <c r="O97" s="16">
        <f t="shared" si="1"/>
        <v>0</v>
      </c>
      <c r="P97" s="16"/>
      <c r="Q97" s="24">
        <v>0</v>
      </c>
      <c r="R97" s="43"/>
      <c r="S97" s="24">
        <v>0</v>
      </c>
    </row>
    <row r="98" spans="1:19" ht="12.75" customHeight="1">
      <c r="A98" s="32" t="s">
        <v>83</v>
      </c>
      <c r="B98" s="32"/>
      <c r="C98" s="24">
        <f>27338192</f>
        <v>27338192</v>
      </c>
      <c r="D98" s="30"/>
      <c r="E98" s="24">
        <f>15486671+3949165</f>
        <v>19435836</v>
      </c>
      <c r="F98" s="30"/>
      <c r="G98" s="24">
        <v>120907</v>
      </c>
      <c r="H98" s="30"/>
      <c r="I98" s="24">
        <v>11567676</v>
      </c>
      <c r="J98" s="30"/>
      <c r="K98" s="24">
        <v>44615184</v>
      </c>
      <c r="L98" s="30"/>
      <c r="M98" s="24">
        <v>722345</v>
      </c>
      <c r="N98" s="16"/>
      <c r="O98" s="16">
        <f t="shared" si="1"/>
        <v>4411317</v>
      </c>
      <c r="P98" s="16"/>
      <c r="Q98" s="24">
        <v>108211457</v>
      </c>
      <c r="R98" s="43"/>
      <c r="S98" s="24">
        <v>2600348</v>
      </c>
    </row>
    <row r="99" spans="1:19" ht="12.75" customHeight="1" hidden="1">
      <c r="A99" s="32" t="s">
        <v>175</v>
      </c>
      <c r="B99" s="32"/>
      <c r="C99" s="24">
        <v>0</v>
      </c>
      <c r="D99" s="68"/>
      <c r="E99" s="24">
        <v>0</v>
      </c>
      <c r="F99" s="68"/>
      <c r="G99" s="24">
        <v>0</v>
      </c>
      <c r="H99" s="68"/>
      <c r="I99" s="24">
        <v>0</v>
      </c>
      <c r="J99" s="72"/>
      <c r="K99" s="24">
        <v>0</v>
      </c>
      <c r="L99" s="72"/>
      <c r="M99" s="24">
        <v>0</v>
      </c>
      <c r="N99" s="72"/>
      <c r="O99" s="16">
        <f>Q99-C99-E99-G99-I99-K99-M99</f>
        <v>0</v>
      </c>
      <c r="P99" s="72"/>
      <c r="Q99" s="24">
        <v>0</v>
      </c>
      <c r="R99" s="33"/>
      <c r="S99" s="24">
        <v>0</v>
      </c>
    </row>
    <row r="100" spans="1:19" ht="12.75" customHeight="1">
      <c r="A100" s="32"/>
      <c r="B100" s="32"/>
      <c r="C100" s="68"/>
      <c r="D100" s="68"/>
      <c r="E100" s="68"/>
      <c r="F100" s="68"/>
      <c r="G100" s="68"/>
      <c r="H100" s="68"/>
      <c r="I100" s="68"/>
      <c r="J100" s="72"/>
      <c r="K100" s="68"/>
      <c r="L100" s="72"/>
      <c r="M100" s="68"/>
      <c r="N100" s="72"/>
      <c r="O100" s="16"/>
      <c r="P100" s="72"/>
      <c r="Q100" s="68"/>
      <c r="R100" s="33"/>
      <c r="S100" s="68"/>
    </row>
    <row r="101" spans="1:19" ht="12.75" customHeight="1">
      <c r="A101" s="32" t="s">
        <v>229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2"/>
    </row>
    <row r="102" spans="1:19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2"/>
    </row>
    <row r="103" spans="1:19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2"/>
    </row>
    <row r="104" spans="1:19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2"/>
    </row>
    <row r="105" spans="1:19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2"/>
    </row>
    <row r="106" spans="1:19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2"/>
    </row>
    <row r="107" spans="1:18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1:18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1:18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printOptions/>
  <pageMargins left="1" right="0.75" top="0.5" bottom="0.5" header="0" footer="0.25"/>
  <pageSetup firstPageNumber="32" useFirstPageNumber="1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7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O604"/>
  <sheetViews>
    <sheetView view="pageBreakPreview" zoomScale="130" zoomScaleSheetLayoutView="130" zoomScalePageLayoutView="0" workbookViewId="0" topLeftCell="A1">
      <pane xSplit="1" ySplit="8" topLeftCell="B57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A83" sqref="AA83"/>
    </sheetView>
  </sheetViews>
  <sheetFormatPr defaultColWidth="9.140625" defaultRowHeight="12" customHeight="1"/>
  <cols>
    <col min="1" max="1" width="15.7109375" style="34" customWidth="1"/>
    <col min="2" max="2" width="1.7109375" style="34" customWidth="1"/>
    <col min="3" max="3" width="11.7109375" style="34" customWidth="1"/>
    <col min="4" max="4" width="1.7109375" style="34" customWidth="1"/>
    <col min="5" max="5" width="11.7109375" style="34" customWidth="1"/>
    <col min="6" max="6" width="1.7109375" style="34" customWidth="1"/>
    <col min="7" max="7" width="11.7109375" style="34" customWidth="1"/>
    <col min="8" max="8" width="1.7109375" style="34" customWidth="1"/>
    <col min="9" max="9" width="11.7109375" style="34" customWidth="1"/>
    <col min="10" max="10" width="1.7109375" style="34" customWidth="1"/>
    <col min="11" max="11" width="11.7109375" style="34" customWidth="1"/>
    <col min="12" max="12" width="1.7109375" style="34" customWidth="1"/>
    <col min="13" max="13" width="11.7109375" style="34" customWidth="1"/>
    <col min="14" max="14" width="1.7109375" style="34" customWidth="1"/>
    <col min="15" max="15" width="11.7109375" style="34" customWidth="1"/>
    <col min="16" max="16" width="1.7109375" style="34" customWidth="1"/>
    <col min="17" max="17" width="10.7109375" style="34" customWidth="1"/>
    <col min="18" max="18" width="1.7109375" style="34" customWidth="1"/>
    <col min="19" max="19" width="10.7109375" style="34" customWidth="1"/>
    <col min="20" max="20" width="1.7109375" style="34" customWidth="1"/>
    <col min="21" max="21" width="10.7109375" style="34" customWidth="1"/>
    <col min="22" max="22" width="1.7109375" style="34" customWidth="1"/>
    <col min="23" max="23" width="10.7109375" style="34" customWidth="1"/>
    <col min="24" max="24" width="1.7109375" style="34" customWidth="1"/>
    <col min="25" max="25" width="10.7109375" style="34" customWidth="1"/>
    <col min="26" max="26" width="1.7109375" style="34" customWidth="1"/>
    <col min="27" max="27" width="10.7109375" style="34" customWidth="1"/>
    <col min="28" max="28" width="1.7109375" style="34" customWidth="1"/>
    <col min="29" max="29" width="11.7109375" style="34" customWidth="1"/>
    <col min="30" max="30" width="2.7109375" style="34" customWidth="1"/>
    <col min="31" max="31" width="11.7109375" style="34" customWidth="1"/>
    <col min="32" max="32" width="3.7109375" style="26" customWidth="1"/>
    <col min="33" max="33" width="11.140625" style="26" bestFit="1" customWidth="1"/>
    <col min="34" max="34" width="3.421875" style="26" customWidth="1"/>
    <col min="35" max="35" width="11.421875" style="26" bestFit="1" customWidth="1"/>
    <col min="36" max="36" width="3.28125" style="26" customWidth="1"/>
    <col min="37" max="37" width="10.8515625" style="26" bestFit="1" customWidth="1"/>
    <col min="38" max="38" width="3.00390625" style="26" customWidth="1"/>
    <col min="39" max="39" width="14.140625" style="104" customWidth="1"/>
    <col min="40" max="16384" width="9.140625" style="26" customWidth="1"/>
  </cols>
  <sheetData>
    <row r="1" spans="1:33" s="66" customFormat="1" ht="12.75" customHeight="1">
      <c r="A1" s="63" t="s">
        <v>202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42"/>
      <c r="AF1" s="49"/>
      <c r="AG1" s="65"/>
    </row>
    <row r="2" spans="1:33" s="66" customFormat="1" ht="12.75" customHeight="1">
      <c r="A2" s="63" t="s">
        <v>254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42"/>
      <c r="AF2" s="49"/>
      <c r="AG2" s="65"/>
    </row>
    <row r="3" spans="1:33" s="66" customFormat="1" ht="12.75" customHeight="1">
      <c r="A3" s="49" t="s">
        <v>249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42"/>
      <c r="AF3" s="49"/>
      <c r="AG3" s="65"/>
    </row>
    <row r="4" spans="1:33" ht="12.75" customHeight="1">
      <c r="A4" s="57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32"/>
      <c r="AF4" s="33"/>
      <c r="AG4" s="67"/>
    </row>
    <row r="5" spans="1:33" ht="12.75" customHeight="1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32"/>
      <c r="AF5" s="33"/>
      <c r="AG5" s="67"/>
    </row>
    <row r="6" spans="1:37" ht="12.75" customHeight="1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2"/>
      <c r="AF6" s="33"/>
      <c r="AG6" s="67" t="s">
        <v>207</v>
      </c>
      <c r="AI6" s="26" t="s">
        <v>212</v>
      </c>
      <c r="AK6" s="26" t="s">
        <v>215</v>
      </c>
    </row>
    <row r="7" spans="1:39" ht="12.75" customHeight="1">
      <c r="A7" s="19"/>
      <c r="B7" s="19"/>
      <c r="C7" s="19" t="s">
        <v>185</v>
      </c>
      <c r="D7" s="19"/>
      <c r="E7" s="19"/>
      <c r="F7" s="19"/>
      <c r="G7" s="19" t="s">
        <v>84</v>
      </c>
      <c r="H7" s="19"/>
      <c r="I7" s="19" t="s">
        <v>84</v>
      </c>
      <c r="J7" s="19"/>
      <c r="K7" s="19"/>
      <c r="L7" s="19"/>
      <c r="M7" s="19" t="s">
        <v>85</v>
      </c>
      <c r="N7" s="19"/>
      <c r="O7" s="19" t="s">
        <v>165</v>
      </c>
      <c r="P7" s="19"/>
      <c r="Q7" s="19" t="s">
        <v>86</v>
      </c>
      <c r="R7" s="19"/>
      <c r="S7" s="19" t="s">
        <v>99</v>
      </c>
      <c r="T7" s="19"/>
      <c r="U7" s="19" t="s">
        <v>87</v>
      </c>
      <c r="V7" s="19"/>
      <c r="W7" s="19" t="s">
        <v>1</v>
      </c>
      <c r="X7" s="19"/>
      <c r="Y7" s="19"/>
      <c r="Z7" s="19"/>
      <c r="AA7" s="19" t="s">
        <v>100</v>
      </c>
      <c r="AB7" s="19"/>
      <c r="AC7" s="23"/>
      <c r="AD7" s="23"/>
      <c r="AE7" s="32" t="s">
        <v>101</v>
      </c>
      <c r="AF7" s="33"/>
      <c r="AG7" s="99" t="s">
        <v>211</v>
      </c>
      <c r="AH7" s="34"/>
      <c r="AI7" s="34" t="s">
        <v>213</v>
      </c>
      <c r="AJ7" s="34"/>
      <c r="AK7" s="34" t="s">
        <v>216</v>
      </c>
      <c r="AL7" s="34"/>
      <c r="AM7" s="34" t="s">
        <v>218</v>
      </c>
    </row>
    <row r="8" spans="1:39" ht="12.75" customHeight="1">
      <c r="A8" s="53" t="s">
        <v>5</v>
      </c>
      <c r="B8" s="23"/>
      <c r="C8" s="53" t="s">
        <v>186</v>
      </c>
      <c r="D8" s="23"/>
      <c r="E8" s="53" t="s">
        <v>88</v>
      </c>
      <c r="F8" s="23"/>
      <c r="G8" s="53" t="s">
        <v>89</v>
      </c>
      <c r="H8" s="23"/>
      <c r="I8" s="53" t="s">
        <v>90</v>
      </c>
      <c r="J8" s="23"/>
      <c r="K8" s="53" t="s">
        <v>91</v>
      </c>
      <c r="L8" s="23"/>
      <c r="M8" s="53" t="s">
        <v>8</v>
      </c>
      <c r="N8" s="23"/>
      <c r="O8" s="53" t="s">
        <v>166</v>
      </c>
      <c r="P8" s="23"/>
      <c r="Q8" s="53" t="s">
        <v>189</v>
      </c>
      <c r="R8" s="23"/>
      <c r="S8" s="53" t="s">
        <v>92</v>
      </c>
      <c r="T8" s="23"/>
      <c r="U8" s="53" t="s">
        <v>93</v>
      </c>
      <c r="V8" s="23"/>
      <c r="W8" s="53" t="s">
        <v>9</v>
      </c>
      <c r="X8" s="23"/>
      <c r="Y8" s="53" t="s">
        <v>94</v>
      </c>
      <c r="Z8" s="23"/>
      <c r="AA8" s="53" t="s">
        <v>95</v>
      </c>
      <c r="AB8" s="23"/>
      <c r="AC8" s="53" t="s">
        <v>4</v>
      </c>
      <c r="AD8" s="23"/>
      <c r="AE8" s="32" t="s">
        <v>92</v>
      </c>
      <c r="AF8" s="33"/>
      <c r="AG8" s="99" t="s">
        <v>208</v>
      </c>
      <c r="AH8" s="34"/>
      <c r="AI8" s="34" t="s">
        <v>214</v>
      </c>
      <c r="AJ8" s="34"/>
      <c r="AK8" s="34" t="s">
        <v>217</v>
      </c>
      <c r="AL8" s="34"/>
      <c r="AM8" s="34" t="s">
        <v>219</v>
      </c>
    </row>
    <row r="9" spans="1:39" ht="12.75" customHeight="1">
      <c r="A9" s="19"/>
      <c r="B9" s="23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19"/>
      <c r="T9" s="23"/>
      <c r="U9" s="19"/>
      <c r="V9" s="23"/>
      <c r="W9" s="19"/>
      <c r="X9" s="23"/>
      <c r="Y9" s="19"/>
      <c r="Z9" s="23"/>
      <c r="AA9" s="19"/>
      <c r="AB9" s="23"/>
      <c r="AC9" s="19"/>
      <c r="AD9" s="23"/>
      <c r="AE9" s="32"/>
      <c r="AF9" s="33"/>
      <c r="AG9" s="99"/>
      <c r="AH9" s="34"/>
      <c r="AI9" s="34"/>
      <c r="AJ9" s="34"/>
      <c r="AK9" s="34"/>
      <c r="AL9" s="34"/>
      <c r="AM9" s="34"/>
    </row>
    <row r="10" spans="1:39" ht="12.75" customHeight="1" hidden="1">
      <c r="A10" s="89" t="s">
        <v>237</v>
      </c>
      <c r="B10" s="23"/>
      <c r="C10" s="47">
        <v>2706853</v>
      </c>
      <c r="D10" s="47"/>
      <c r="E10" s="47">
        <v>1300231</v>
      </c>
      <c r="F10" s="47"/>
      <c r="G10" s="47">
        <v>2589003</v>
      </c>
      <c r="H10" s="47"/>
      <c r="I10" s="47">
        <v>6084598</v>
      </c>
      <c r="J10" s="47"/>
      <c r="K10" s="47">
        <v>3215967</v>
      </c>
      <c r="L10" s="47"/>
      <c r="M10" s="47">
        <v>5839170</v>
      </c>
      <c r="N10" s="47"/>
      <c r="O10" s="47">
        <v>0</v>
      </c>
      <c r="P10" s="47"/>
      <c r="Q10" s="47">
        <v>0</v>
      </c>
      <c r="R10" s="47"/>
      <c r="S10" s="47">
        <v>1406432</v>
      </c>
      <c r="T10" s="47"/>
      <c r="U10" s="47">
        <v>1261233</v>
      </c>
      <c r="V10" s="47"/>
      <c r="W10" s="47">
        <v>0</v>
      </c>
      <c r="X10" s="47"/>
      <c r="Y10" s="47">
        <v>194348</v>
      </c>
      <c r="Z10" s="47"/>
      <c r="AA10" s="47">
        <v>24305</v>
      </c>
      <c r="AB10" s="47"/>
      <c r="AC10" s="47">
        <f>SUM(C10:AA10)</f>
        <v>24622140</v>
      </c>
      <c r="AD10" s="30"/>
      <c r="AE10" s="103">
        <f>SUM(C10:S10)</f>
        <v>23142254</v>
      </c>
      <c r="AF10" s="33"/>
      <c r="AG10" s="47">
        <f>124722+284705</f>
        <v>409427</v>
      </c>
      <c r="AH10" s="34"/>
      <c r="AI10" s="47">
        <v>9279395</v>
      </c>
      <c r="AJ10" s="34"/>
      <c r="AK10" s="34">
        <v>0</v>
      </c>
      <c r="AL10" s="34"/>
      <c r="AM10" s="34">
        <f>+'Gov Fd Rv'!Q10+'Gov Fd Rv'!S10-'Gov Fnd Exp'!AC10-AG10+AI10-'Gov Fd BS'!O10+AK10</f>
        <v>0</v>
      </c>
    </row>
    <row r="11" spans="1:39" ht="12.75" customHeight="1">
      <c r="A11" s="32" t="s">
        <v>13</v>
      </c>
      <c r="B11" s="32"/>
      <c r="C11" s="47">
        <v>12423810</v>
      </c>
      <c r="D11" s="47"/>
      <c r="E11" s="47">
        <v>8802106</v>
      </c>
      <c r="F11" s="47"/>
      <c r="G11" s="47">
        <v>10456283</v>
      </c>
      <c r="H11" s="47"/>
      <c r="I11" s="47">
        <v>9045775</v>
      </c>
      <c r="J11" s="47"/>
      <c r="K11" s="47">
        <v>14729780</v>
      </c>
      <c r="L11" s="47"/>
      <c r="M11" s="47">
        <v>16088911</v>
      </c>
      <c r="N11" s="47"/>
      <c r="O11" s="47">
        <v>0</v>
      </c>
      <c r="P11" s="47"/>
      <c r="Q11" s="47">
        <v>1031215</v>
      </c>
      <c r="R11" s="47"/>
      <c r="S11" s="47">
        <v>54971</v>
      </c>
      <c r="T11" s="47"/>
      <c r="U11" s="47">
        <v>2063562</v>
      </c>
      <c r="V11" s="47"/>
      <c r="W11" s="47">
        <v>157409</v>
      </c>
      <c r="X11" s="47"/>
      <c r="Y11" s="47">
        <v>8083369</v>
      </c>
      <c r="Z11" s="47"/>
      <c r="AA11" s="47">
        <v>930924</v>
      </c>
      <c r="AB11" s="47"/>
      <c r="AC11" s="47">
        <f>SUM(C11:AA11)</f>
        <v>83868115</v>
      </c>
      <c r="AD11" s="30"/>
      <c r="AE11" s="103">
        <f>SUM(C11:S11)</f>
        <v>72632851</v>
      </c>
      <c r="AF11" s="33"/>
      <c r="AG11" s="47">
        <v>1548913</v>
      </c>
      <c r="AH11" s="34"/>
      <c r="AI11" s="47">
        <v>38879627</v>
      </c>
      <c r="AJ11" s="34"/>
      <c r="AK11" s="24">
        <v>0</v>
      </c>
      <c r="AL11" s="34"/>
      <c r="AM11" s="34">
        <f>+'Gov Fd Rv'!Q11+'Gov Fd Rv'!S11-'Gov Fnd Exp'!AC11-AG11+AI11-'Gov Fd BS'!O11+AK11</f>
        <v>0</v>
      </c>
    </row>
    <row r="12" spans="1:40" ht="12.75" customHeight="1">
      <c r="A12" s="32" t="s">
        <v>14</v>
      </c>
      <c r="B12" s="32"/>
      <c r="C12" s="30">
        <v>4868244</v>
      </c>
      <c r="D12" s="30"/>
      <c r="E12" s="30">
        <v>1713856</v>
      </c>
      <c r="F12" s="30"/>
      <c r="G12" s="30">
        <f>5506876+272963</f>
        <v>5779839</v>
      </c>
      <c r="H12" s="30"/>
      <c r="I12" s="30">
        <v>4877152</v>
      </c>
      <c r="J12" s="30"/>
      <c r="K12" s="30">
        <f>4113905+6461199+921461</f>
        <v>11496565</v>
      </c>
      <c r="L12" s="30"/>
      <c r="M12" s="30">
        <f>1450775+3476471+1380050</f>
        <v>6307296</v>
      </c>
      <c r="N12" s="30"/>
      <c r="O12" s="30">
        <v>0</v>
      </c>
      <c r="P12" s="30"/>
      <c r="Q12" s="30">
        <v>21177</v>
      </c>
      <c r="R12" s="30"/>
      <c r="S12" s="30">
        <v>0</v>
      </c>
      <c r="T12" s="30"/>
      <c r="U12" s="30">
        <v>0</v>
      </c>
      <c r="V12" s="30"/>
      <c r="W12" s="30">
        <v>211450</v>
      </c>
      <c r="X12" s="30"/>
      <c r="Y12" s="30">
        <v>431548</v>
      </c>
      <c r="Z12" s="30"/>
      <c r="AA12" s="30">
        <v>154880</v>
      </c>
      <c r="AB12" s="30"/>
      <c r="AC12" s="30">
        <f aca="true" t="shared" si="0" ref="AC12:AC28">SUM(C12:AA12)</f>
        <v>35862007</v>
      </c>
      <c r="AD12" s="30"/>
      <c r="AE12" s="103">
        <f aca="true" t="shared" si="1" ref="AE12:AE28">SUM(C12:S12)</f>
        <v>35064129</v>
      </c>
      <c r="AF12" s="33"/>
      <c r="AG12" s="30">
        <v>797092</v>
      </c>
      <c r="AH12" s="34"/>
      <c r="AI12" s="30">
        <v>16410046</v>
      </c>
      <c r="AJ12" s="34"/>
      <c r="AK12" s="24">
        <v>0</v>
      </c>
      <c r="AL12" s="34"/>
      <c r="AM12" s="34">
        <f>+'Gov Fd Rv'!Q12+'Gov Fd Rv'!S12-'Gov Fnd Exp'!AC12-AG12+AI12-'Gov Fd BS'!O12+AK12</f>
        <v>0</v>
      </c>
      <c r="AN12" s="26" t="s">
        <v>225</v>
      </c>
    </row>
    <row r="13" spans="1:39" ht="12.75" customHeight="1">
      <c r="A13" s="32" t="s">
        <v>15</v>
      </c>
      <c r="B13" s="32"/>
      <c r="C13" s="30">
        <v>11526226</v>
      </c>
      <c r="D13" s="30"/>
      <c r="E13" s="30">
        <v>4671354</v>
      </c>
      <c r="F13" s="30"/>
      <c r="G13" s="30">
        <v>7982908</v>
      </c>
      <c r="H13" s="30"/>
      <c r="I13" s="30">
        <v>8408539</v>
      </c>
      <c r="J13" s="30"/>
      <c r="K13" s="30">
        <v>28708358</v>
      </c>
      <c r="L13" s="30"/>
      <c r="M13" s="30">
        <v>33177408</v>
      </c>
      <c r="N13" s="30"/>
      <c r="O13" s="30">
        <v>0</v>
      </c>
      <c r="P13" s="30"/>
      <c r="Q13" s="30">
        <v>94589</v>
      </c>
      <c r="R13" s="30"/>
      <c r="S13" s="30">
        <v>0</v>
      </c>
      <c r="T13" s="30"/>
      <c r="U13" s="30">
        <v>125376</v>
      </c>
      <c r="V13" s="30"/>
      <c r="W13" s="30">
        <v>0</v>
      </c>
      <c r="X13" s="30"/>
      <c r="Y13" s="30">
        <v>513062</v>
      </c>
      <c r="Z13" s="30"/>
      <c r="AA13" s="30">
        <v>220068</v>
      </c>
      <c r="AB13" s="30"/>
      <c r="AC13" s="30">
        <f t="shared" si="0"/>
        <v>95427888</v>
      </c>
      <c r="AD13" s="30"/>
      <c r="AE13" s="103">
        <f t="shared" si="1"/>
        <v>94569382</v>
      </c>
      <c r="AF13" s="33"/>
      <c r="AG13" s="30">
        <v>4771141</v>
      </c>
      <c r="AH13" s="34"/>
      <c r="AI13" s="30">
        <v>34354539</v>
      </c>
      <c r="AJ13" s="34"/>
      <c r="AK13" s="24">
        <v>0</v>
      </c>
      <c r="AL13" s="34"/>
      <c r="AM13" s="34">
        <f>+'Gov Fd Rv'!Q13+'Gov Fd Rv'!S13-'Gov Fnd Exp'!AC13-AG13+AI13-'Gov Fd BS'!O13+AK13</f>
        <v>0</v>
      </c>
    </row>
    <row r="14" spans="1:39" ht="12.75" customHeight="1">
      <c r="A14" s="32" t="s">
        <v>16</v>
      </c>
      <c r="B14" s="32"/>
      <c r="C14" s="30">
        <v>6083987</v>
      </c>
      <c r="D14" s="30"/>
      <c r="E14" s="30">
        <v>2581531</v>
      </c>
      <c r="F14" s="30"/>
      <c r="G14" s="30">
        <v>5627638</v>
      </c>
      <c r="H14" s="30"/>
      <c r="I14" s="30">
        <v>5590145</v>
      </c>
      <c r="J14" s="30"/>
      <c r="K14" s="30">
        <v>2898067</v>
      </c>
      <c r="L14" s="30"/>
      <c r="M14" s="30">
        <v>29373095</v>
      </c>
      <c r="N14" s="30"/>
      <c r="O14" s="30">
        <v>180400</v>
      </c>
      <c r="P14" s="30"/>
      <c r="Q14" s="30">
        <v>5596</v>
      </c>
      <c r="R14" s="30"/>
      <c r="S14" s="30">
        <v>0</v>
      </c>
      <c r="T14" s="30"/>
      <c r="U14" s="30">
        <v>636443</v>
      </c>
      <c r="V14" s="30"/>
      <c r="W14" s="30">
        <v>0</v>
      </c>
      <c r="X14" s="30"/>
      <c r="Y14" s="30">
        <v>489219</v>
      </c>
      <c r="Z14" s="30"/>
      <c r="AA14" s="30">
        <v>103367</v>
      </c>
      <c r="AB14" s="30"/>
      <c r="AC14" s="30">
        <f t="shared" si="0"/>
        <v>53569488</v>
      </c>
      <c r="AD14" s="30"/>
      <c r="AE14" s="103">
        <f t="shared" si="1"/>
        <v>52340459</v>
      </c>
      <c r="AF14" s="33"/>
      <c r="AG14" s="30">
        <v>1129619</v>
      </c>
      <c r="AH14" s="34"/>
      <c r="AI14" s="30">
        <v>22061014</v>
      </c>
      <c r="AJ14" s="34"/>
      <c r="AK14" s="24">
        <v>0</v>
      </c>
      <c r="AL14" s="34"/>
      <c r="AM14" s="34">
        <f>+'Gov Fd Rv'!Q14+'Gov Fd Rv'!S14-'Gov Fnd Exp'!AC14-AG14+AI14-'Gov Fd BS'!O14+AK14</f>
        <v>0</v>
      </c>
    </row>
    <row r="15" spans="1:39" ht="12.75" customHeight="1">
      <c r="A15" s="32" t="s">
        <v>17</v>
      </c>
      <c r="B15" s="32"/>
      <c r="C15" s="30">
        <v>3824726</v>
      </c>
      <c r="D15" s="30"/>
      <c r="E15" s="30">
        <v>1855386</v>
      </c>
      <c r="F15" s="30"/>
      <c r="G15" s="30">
        <v>5225441</v>
      </c>
      <c r="H15" s="30"/>
      <c r="I15" s="30">
        <v>5793754</v>
      </c>
      <c r="J15" s="30"/>
      <c r="K15" s="30">
        <v>5323686</v>
      </c>
      <c r="L15" s="30"/>
      <c r="M15" s="30">
        <v>3688324</v>
      </c>
      <c r="N15" s="30"/>
      <c r="O15" s="30">
        <v>0</v>
      </c>
      <c r="P15" s="30"/>
      <c r="Q15" s="30">
        <v>0</v>
      </c>
      <c r="R15" s="30"/>
      <c r="S15" s="30">
        <v>1324767</v>
      </c>
      <c r="T15" s="30"/>
      <c r="U15" s="30">
        <v>1440464</v>
      </c>
      <c r="V15" s="30"/>
      <c r="W15" s="30">
        <v>0</v>
      </c>
      <c r="X15" s="30"/>
      <c r="Y15" s="30">
        <v>376031</v>
      </c>
      <c r="Z15" s="30"/>
      <c r="AA15" s="30">
        <v>79532</v>
      </c>
      <c r="AB15" s="30"/>
      <c r="AC15" s="30">
        <f t="shared" si="0"/>
        <v>28932111</v>
      </c>
      <c r="AD15" s="30"/>
      <c r="AE15" s="103">
        <f t="shared" si="1"/>
        <v>27036084</v>
      </c>
      <c r="AF15" s="33"/>
      <c r="AG15" s="30">
        <f>897291</f>
        <v>897291</v>
      </c>
      <c r="AH15" s="34"/>
      <c r="AI15" s="30">
        <v>23785830</v>
      </c>
      <c r="AJ15" s="34"/>
      <c r="AK15" s="24">
        <v>0</v>
      </c>
      <c r="AL15" s="34"/>
      <c r="AM15" s="34">
        <f>+'Gov Fd Rv'!Q15+'Gov Fd Rv'!S15-'Gov Fnd Exp'!AC15-AG15+AI15-'Gov Fd BS'!O15+AK15</f>
        <v>0</v>
      </c>
    </row>
    <row r="16" spans="1:39" ht="12.75" customHeight="1">
      <c r="A16" s="32" t="s">
        <v>18</v>
      </c>
      <c r="B16" s="32"/>
      <c r="C16" s="30">
        <v>9597045</v>
      </c>
      <c r="D16" s="30"/>
      <c r="E16" s="30">
        <v>3153945</v>
      </c>
      <c r="F16" s="30"/>
      <c r="G16" s="30">
        <v>7984646</v>
      </c>
      <c r="H16" s="30"/>
      <c r="I16" s="30">
        <v>5800434</v>
      </c>
      <c r="J16" s="30"/>
      <c r="K16" s="30">
        <v>11432985</v>
      </c>
      <c r="L16" s="30"/>
      <c r="M16" s="30">
        <v>12476232</v>
      </c>
      <c r="N16" s="30"/>
      <c r="O16" s="30">
        <v>320000</v>
      </c>
      <c r="P16" s="30"/>
      <c r="Q16" s="30">
        <v>0</v>
      </c>
      <c r="R16" s="30"/>
      <c r="S16" s="30">
        <v>136642</v>
      </c>
      <c r="T16" s="30"/>
      <c r="U16" s="30">
        <v>1883257</v>
      </c>
      <c r="V16" s="30"/>
      <c r="W16" s="30">
        <v>0</v>
      </c>
      <c r="X16" s="30"/>
      <c r="Y16" s="30">
        <v>697579</v>
      </c>
      <c r="Z16" s="30"/>
      <c r="AA16" s="30">
        <v>365415</v>
      </c>
      <c r="AB16" s="30"/>
      <c r="AC16" s="30">
        <f t="shared" si="0"/>
        <v>53848180</v>
      </c>
      <c r="AD16" s="30"/>
      <c r="AE16" s="103">
        <f t="shared" si="1"/>
        <v>50901929</v>
      </c>
      <c r="AF16" s="33"/>
      <c r="AG16" s="30">
        <v>1096301</v>
      </c>
      <c r="AH16" s="34"/>
      <c r="AI16" s="30">
        <v>32101898</v>
      </c>
      <c r="AJ16" s="34"/>
      <c r="AK16" s="24">
        <v>0</v>
      </c>
      <c r="AL16" s="34"/>
      <c r="AM16" s="34">
        <f>+'Gov Fd Rv'!Q16+'Gov Fd Rv'!S16-'Gov Fnd Exp'!AC16-AG16+AI16-'Gov Fd BS'!O16+AK16</f>
        <v>0</v>
      </c>
    </row>
    <row r="17" spans="1:39" ht="12.75" customHeight="1" hidden="1">
      <c r="A17" s="32" t="s">
        <v>240</v>
      </c>
      <c r="B17" s="32"/>
      <c r="C17" s="30">
        <v>0</v>
      </c>
      <c r="D17" s="30"/>
      <c r="E17" s="30">
        <v>0</v>
      </c>
      <c r="F17" s="30"/>
      <c r="G17" s="30">
        <v>0</v>
      </c>
      <c r="H17" s="30"/>
      <c r="I17" s="30">
        <v>0</v>
      </c>
      <c r="J17" s="30"/>
      <c r="K17" s="30">
        <v>0</v>
      </c>
      <c r="L17" s="30"/>
      <c r="M17" s="30">
        <v>0</v>
      </c>
      <c r="N17" s="30"/>
      <c r="O17" s="30">
        <v>0</v>
      </c>
      <c r="P17" s="30"/>
      <c r="Q17" s="30">
        <v>0</v>
      </c>
      <c r="R17" s="30"/>
      <c r="S17" s="30">
        <v>0</v>
      </c>
      <c r="T17" s="30"/>
      <c r="U17" s="30">
        <v>0</v>
      </c>
      <c r="V17" s="30"/>
      <c r="W17" s="30">
        <v>0</v>
      </c>
      <c r="X17" s="30"/>
      <c r="Y17" s="30">
        <v>0</v>
      </c>
      <c r="Z17" s="30"/>
      <c r="AA17" s="30">
        <v>0</v>
      </c>
      <c r="AB17" s="30"/>
      <c r="AC17" s="30">
        <f t="shared" si="0"/>
        <v>0</v>
      </c>
      <c r="AD17" s="30"/>
      <c r="AE17" s="103">
        <f t="shared" si="1"/>
        <v>0</v>
      </c>
      <c r="AF17" s="33"/>
      <c r="AG17" s="30">
        <v>0</v>
      </c>
      <c r="AH17" s="34"/>
      <c r="AI17" s="30">
        <v>0</v>
      </c>
      <c r="AJ17" s="34"/>
      <c r="AK17" s="24">
        <v>0</v>
      </c>
      <c r="AL17" s="34"/>
      <c r="AM17" s="34">
        <f>+'Gov Fd Rv'!Q17+'Gov Fd Rv'!S17-'Gov Fnd Exp'!AC17-AG17+AI17-'Gov Fd BS'!O17+AK17</f>
        <v>0</v>
      </c>
    </row>
    <row r="18" spans="1:39" ht="12.75" customHeight="1" hidden="1">
      <c r="A18" s="32" t="s">
        <v>19</v>
      </c>
      <c r="B18" s="32"/>
      <c r="C18" s="30">
        <v>0</v>
      </c>
      <c r="D18" s="30"/>
      <c r="E18" s="30">
        <v>0</v>
      </c>
      <c r="F18" s="30"/>
      <c r="G18" s="30">
        <v>0</v>
      </c>
      <c r="H18" s="30"/>
      <c r="I18" s="30">
        <v>0</v>
      </c>
      <c r="J18" s="30"/>
      <c r="K18" s="30">
        <v>0</v>
      </c>
      <c r="L18" s="30"/>
      <c r="M18" s="30">
        <v>0</v>
      </c>
      <c r="N18" s="30"/>
      <c r="O18" s="30">
        <v>0</v>
      </c>
      <c r="P18" s="30"/>
      <c r="Q18" s="30">
        <v>0</v>
      </c>
      <c r="R18" s="30"/>
      <c r="S18" s="30">
        <v>0</v>
      </c>
      <c r="T18" s="30"/>
      <c r="U18" s="30">
        <v>0</v>
      </c>
      <c r="V18" s="30"/>
      <c r="W18" s="30">
        <v>0</v>
      </c>
      <c r="X18" s="30"/>
      <c r="Y18" s="30">
        <v>0</v>
      </c>
      <c r="Z18" s="30"/>
      <c r="AA18" s="30">
        <v>0</v>
      </c>
      <c r="AB18" s="30"/>
      <c r="AC18" s="30">
        <f t="shared" si="0"/>
        <v>0</v>
      </c>
      <c r="AD18" s="30"/>
      <c r="AE18" s="103">
        <f t="shared" si="1"/>
        <v>0</v>
      </c>
      <c r="AF18" s="33"/>
      <c r="AG18" s="30">
        <v>0</v>
      </c>
      <c r="AH18" s="34"/>
      <c r="AI18" s="30">
        <v>0</v>
      </c>
      <c r="AJ18" s="34"/>
      <c r="AK18" s="24">
        <v>0</v>
      </c>
      <c r="AL18" s="34"/>
      <c r="AM18" s="34">
        <f>+'Gov Fd Rv'!Q18+'Gov Fd Rv'!S18-'Gov Fnd Exp'!AC18-AG18+AI18-'Gov Fd BS'!O18+AK18</f>
        <v>0</v>
      </c>
    </row>
    <row r="19" spans="1:39" ht="12.75" customHeight="1">
      <c r="A19" s="32" t="s">
        <v>20</v>
      </c>
      <c r="B19" s="32"/>
      <c r="C19" s="30">
        <v>2213254</v>
      </c>
      <c r="D19" s="30"/>
      <c r="E19" s="30">
        <v>1124911</v>
      </c>
      <c r="F19" s="30"/>
      <c r="G19" s="30">
        <v>1931274</v>
      </c>
      <c r="H19" s="30"/>
      <c r="I19" s="30">
        <v>3742017</v>
      </c>
      <c r="J19" s="30"/>
      <c r="K19" s="30">
        <v>4538593</v>
      </c>
      <c r="L19" s="30"/>
      <c r="M19" s="30">
        <v>6077104</v>
      </c>
      <c r="N19" s="30"/>
      <c r="O19" s="30">
        <f>730178+585498</f>
        <v>1315676</v>
      </c>
      <c r="P19" s="30"/>
      <c r="Q19" s="30">
        <v>0</v>
      </c>
      <c r="R19" s="30"/>
      <c r="S19" s="30">
        <v>1112961</v>
      </c>
      <c r="T19" s="30"/>
      <c r="U19" s="30">
        <v>2070973</v>
      </c>
      <c r="V19" s="30"/>
      <c r="W19" s="30">
        <v>0</v>
      </c>
      <c r="X19" s="30"/>
      <c r="Y19" s="30">
        <v>49015</v>
      </c>
      <c r="Z19" s="30"/>
      <c r="AA19" s="30">
        <v>22684</v>
      </c>
      <c r="AB19" s="30"/>
      <c r="AC19" s="30">
        <f t="shared" si="0"/>
        <v>24198462</v>
      </c>
      <c r="AD19" s="30"/>
      <c r="AE19" s="103">
        <f t="shared" si="1"/>
        <v>22055790</v>
      </c>
      <c r="AF19" s="33"/>
      <c r="AG19" s="30">
        <v>302900</v>
      </c>
      <c r="AH19" s="34"/>
      <c r="AI19" s="30">
        <v>7582438</v>
      </c>
      <c r="AJ19" s="34"/>
      <c r="AK19" s="24">
        <v>0</v>
      </c>
      <c r="AL19" s="34"/>
      <c r="AM19" s="34">
        <f>+'Gov Fd Rv'!Q19+'Gov Fd Rv'!S19-'Gov Fnd Exp'!AC19-AG19+AI19-'Gov Fd BS'!O19+AK19</f>
        <v>0</v>
      </c>
    </row>
    <row r="20" spans="1:39" ht="12.75" customHeight="1" hidden="1">
      <c r="A20" s="23" t="s">
        <v>173</v>
      </c>
      <c r="B20" s="23"/>
      <c r="C20" s="30">
        <v>0</v>
      </c>
      <c r="D20" s="30"/>
      <c r="E20" s="30">
        <v>0</v>
      </c>
      <c r="F20" s="30"/>
      <c r="G20" s="30">
        <v>0</v>
      </c>
      <c r="H20" s="30"/>
      <c r="I20" s="30">
        <v>0</v>
      </c>
      <c r="J20" s="30"/>
      <c r="K20" s="30">
        <v>0</v>
      </c>
      <c r="L20" s="30"/>
      <c r="M20" s="30">
        <v>0</v>
      </c>
      <c r="N20" s="30"/>
      <c r="O20" s="30">
        <v>0</v>
      </c>
      <c r="P20" s="30"/>
      <c r="Q20" s="30">
        <v>0</v>
      </c>
      <c r="R20" s="30"/>
      <c r="S20" s="30">
        <v>0</v>
      </c>
      <c r="T20" s="30"/>
      <c r="U20" s="30">
        <v>0</v>
      </c>
      <c r="V20" s="30"/>
      <c r="W20" s="30">
        <v>0</v>
      </c>
      <c r="X20" s="30"/>
      <c r="Y20" s="30">
        <v>0</v>
      </c>
      <c r="Z20" s="30"/>
      <c r="AA20" s="30">
        <v>0</v>
      </c>
      <c r="AB20" s="30"/>
      <c r="AC20" s="30">
        <f t="shared" si="0"/>
        <v>0</v>
      </c>
      <c r="AD20" s="30"/>
      <c r="AE20" s="103">
        <f t="shared" si="1"/>
        <v>0</v>
      </c>
      <c r="AF20" s="33"/>
      <c r="AG20" s="30">
        <v>0</v>
      </c>
      <c r="AH20" s="34"/>
      <c r="AI20" s="30">
        <v>0</v>
      </c>
      <c r="AJ20" s="34"/>
      <c r="AK20" s="24">
        <v>0</v>
      </c>
      <c r="AL20" s="34"/>
      <c r="AM20" s="34">
        <f>+'Gov Fd Rv'!Q20+'Gov Fd Rv'!S20-'Gov Fnd Exp'!AC20-AG20+AI20-'Gov Fd BS'!O20+AK20</f>
        <v>0</v>
      </c>
    </row>
    <row r="21" spans="1:39" ht="12.75" customHeight="1">
      <c r="A21" s="32" t="s">
        <v>21</v>
      </c>
      <c r="B21" s="32"/>
      <c r="C21" s="30">
        <v>6731901</v>
      </c>
      <c r="D21" s="30"/>
      <c r="E21" s="30">
        <v>13669614</v>
      </c>
      <c r="F21" s="30"/>
      <c r="G21" s="30">
        <v>15552104</v>
      </c>
      <c r="H21" s="30"/>
      <c r="I21" s="30">
        <v>11640668</v>
      </c>
      <c r="J21" s="30"/>
      <c r="K21" s="30">
        <v>27004223</v>
      </c>
      <c r="L21" s="30"/>
      <c r="M21" s="30">
        <v>38587958</v>
      </c>
      <c r="N21" s="30"/>
      <c r="O21" s="30">
        <v>0</v>
      </c>
      <c r="P21" s="30"/>
      <c r="Q21" s="30">
        <v>1343286</v>
      </c>
      <c r="R21" s="30"/>
      <c r="S21" s="30">
        <v>0</v>
      </c>
      <c r="T21" s="30"/>
      <c r="U21" s="30">
        <v>3181254</v>
      </c>
      <c r="V21" s="30"/>
      <c r="W21" s="30">
        <v>0</v>
      </c>
      <c r="X21" s="30"/>
      <c r="Y21" s="30">
        <v>1220000</v>
      </c>
      <c r="Z21" s="30"/>
      <c r="AA21" s="30">
        <v>714191</v>
      </c>
      <c r="AB21" s="30"/>
      <c r="AC21" s="30">
        <f t="shared" si="0"/>
        <v>119645199</v>
      </c>
      <c r="AD21" s="30"/>
      <c r="AE21" s="103">
        <f>SUM(C21:S21)</f>
        <v>114529754</v>
      </c>
      <c r="AF21" s="33"/>
      <c r="AG21" s="30">
        <f>3719525+2374954</f>
        <v>6094479</v>
      </c>
      <c r="AH21" s="34"/>
      <c r="AI21" s="30">
        <v>37343304</v>
      </c>
      <c r="AJ21" s="34"/>
      <c r="AK21" s="24">
        <v>0</v>
      </c>
      <c r="AL21" s="34"/>
      <c r="AM21" s="34">
        <f>+'Gov Fd Rv'!Q21+'Gov Fd Rv'!S21-'Gov Fnd Exp'!AC21-AG21+AI21-'Gov Fd BS'!O21+AK21</f>
        <v>0</v>
      </c>
    </row>
    <row r="22" spans="1:39" ht="12.75" customHeight="1">
      <c r="A22" s="32" t="s">
        <v>181</v>
      </c>
      <c r="B22" s="42"/>
      <c r="C22" s="30">
        <v>17354081</v>
      </c>
      <c r="D22" s="30"/>
      <c r="E22" s="30">
        <v>10661618</v>
      </c>
      <c r="F22" s="30"/>
      <c r="G22" s="30">
        <v>25709301</v>
      </c>
      <c r="H22" s="30"/>
      <c r="I22" s="30">
        <v>9002230</v>
      </c>
      <c r="J22" s="30"/>
      <c r="K22" s="30">
        <v>1193588</v>
      </c>
      <c r="L22" s="30"/>
      <c r="M22" s="30">
        <v>29462234</v>
      </c>
      <c r="N22" s="30"/>
      <c r="O22" s="30">
        <v>3465178</v>
      </c>
      <c r="P22" s="30"/>
      <c r="Q22" s="30">
        <v>4534763</v>
      </c>
      <c r="R22" s="30"/>
      <c r="S22" s="30">
        <v>3369444</v>
      </c>
      <c r="T22" s="30"/>
      <c r="U22" s="30">
        <v>8487565</v>
      </c>
      <c r="V22" s="30"/>
      <c r="W22" s="30">
        <v>0</v>
      </c>
      <c r="X22" s="30"/>
      <c r="Y22" s="30">
        <v>4755911</v>
      </c>
      <c r="Z22" s="30"/>
      <c r="AA22" s="30">
        <v>646606</v>
      </c>
      <c r="AB22" s="30"/>
      <c r="AC22" s="30">
        <f t="shared" si="0"/>
        <v>118642519</v>
      </c>
      <c r="AD22" s="30"/>
      <c r="AE22" s="103">
        <f t="shared" si="1"/>
        <v>104752437</v>
      </c>
      <c r="AF22" s="33"/>
      <c r="AG22" s="30">
        <v>8597885</v>
      </c>
      <c r="AH22" s="34"/>
      <c r="AI22" s="30">
        <v>52981019</v>
      </c>
      <c r="AJ22" s="34"/>
      <c r="AK22" s="24">
        <v>0</v>
      </c>
      <c r="AL22" s="34"/>
      <c r="AM22" s="34">
        <f>+'Gov Fd Rv'!Q22+'Gov Fd Rv'!S22-'Gov Fnd Exp'!AC22-AG22+AI22-'Gov Fd BS'!O22+AK22</f>
        <v>0</v>
      </c>
    </row>
    <row r="23" spans="1:39" ht="12.75" customHeight="1">
      <c r="A23" s="32" t="s">
        <v>22</v>
      </c>
      <c r="B23" s="32"/>
      <c r="C23" s="30">
        <v>6329400</v>
      </c>
      <c r="D23" s="30"/>
      <c r="E23" s="30">
        <v>2693459</v>
      </c>
      <c r="F23" s="30"/>
      <c r="G23" s="30">
        <v>4547670</v>
      </c>
      <c r="H23" s="30"/>
      <c r="I23" s="30">
        <v>4760379</v>
      </c>
      <c r="J23" s="30"/>
      <c r="K23" s="30">
        <v>3920274</v>
      </c>
      <c r="L23" s="30"/>
      <c r="M23" s="30">
        <v>9599559</v>
      </c>
      <c r="N23" s="30"/>
      <c r="O23" s="30">
        <v>312332</v>
      </c>
      <c r="P23" s="30"/>
      <c r="Q23" s="30">
        <v>21833</v>
      </c>
      <c r="R23" s="30"/>
      <c r="S23" s="30">
        <v>525453</v>
      </c>
      <c r="T23" s="30"/>
      <c r="U23" s="30">
        <v>609577</v>
      </c>
      <c r="V23" s="30"/>
      <c r="W23" s="30">
        <v>0</v>
      </c>
      <c r="X23" s="30"/>
      <c r="Y23" s="30">
        <v>525816</v>
      </c>
      <c r="Z23" s="30"/>
      <c r="AA23" s="30">
        <v>433294</v>
      </c>
      <c r="AB23" s="30"/>
      <c r="AC23" s="30">
        <f t="shared" si="0"/>
        <v>34279046</v>
      </c>
      <c r="AD23" s="30"/>
      <c r="AE23" s="103">
        <f t="shared" si="1"/>
        <v>32710359</v>
      </c>
      <c r="AF23" s="33"/>
      <c r="AG23" s="30">
        <f>3717+2499833</f>
        <v>2503550</v>
      </c>
      <c r="AH23" s="34"/>
      <c r="AI23" s="30">
        <v>14821838</v>
      </c>
      <c r="AJ23" s="34"/>
      <c r="AK23" s="24">
        <v>0</v>
      </c>
      <c r="AL23" s="34"/>
      <c r="AM23" s="34">
        <f>+'Gov Fd Rv'!Q23+'Gov Fd Rv'!S23-'Gov Fnd Exp'!AC23-AG23+AI23-'Gov Fd BS'!O23+AK23</f>
        <v>0</v>
      </c>
    </row>
    <row r="24" spans="1:39" ht="12.75" customHeight="1" hidden="1">
      <c r="A24" s="32" t="s">
        <v>23</v>
      </c>
      <c r="B24" s="32"/>
      <c r="C24" s="30">
        <v>0</v>
      </c>
      <c r="D24" s="30"/>
      <c r="E24" s="30">
        <v>0</v>
      </c>
      <c r="F24" s="30"/>
      <c r="G24" s="30">
        <v>0</v>
      </c>
      <c r="H24" s="30"/>
      <c r="I24" s="30">
        <v>0</v>
      </c>
      <c r="J24" s="30"/>
      <c r="K24" s="30">
        <v>0</v>
      </c>
      <c r="L24" s="30"/>
      <c r="M24" s="30">
        <v>0</v>
      </c>
      <c r="N24" s="30"/>
      <c r="O24" s="30">
        <v>0</v>
      </c>
      <c r="P24" s="30"/>
      <c r="Q24" s="30">
        <v>0</v>
      </c>
      <c r="R24" s="30"/>
      <c r="S24" s="30">
        <v>0</v>
      </c>
      <c r="T24" s="30"/>
      <c r="U24" s="30">
        <v>0</v>
      </c>
      <c r="V24" s="30"/>
      <c r="W24" s="30">
        <v>0</v>
      </c>
      <c r="X24" s="30"/>
      <c r="Y24" s="30">
        <v>0</v>
      </c>
      <c r="Z24" s="30"/>
      <c r="AA24" s="30">
        <v>0</v>
      </c>
      <c r="AB24" s="30"/>
      <c r="AC24" s="30">
        <f t="shared" si="0"/>
        <v>0</v>
      </c>
      <c r="AD24" s="30"/>
      <c r="AE24" s="103">
        <f t="shared" si="1"/>
        <v>0</v>
      </c>
      <c r="AF24" s="33"/>
      <c r="AG24" s="30">
        <v>0</v>
      </c>
      <c r="AH24" s="34"/>
      <c r="AI24" s="30">
        <v>0</v>
      </c>
      <c r="AJ24" s="34"/>
      <c r="AK24" s="24">
        <v>0</v>
      </c>
      <c r="AL24" s="34"/>
      <c r="AM24" s="34">
        <f>+'Gov Fd Rv'!Q24+'Gov Fd Rv'!S24-'Gov Fnd Exp'!AC24-AG24+AI24-'Gov Fd BS'!O24+AK24</f>
        <v>0</v>
      </c>
    </row>
    <row r="25" spans="1:39" ht="12.75" customHeight="1">
      <c r="A25" s="32" t="s">
        <v>24</v>
      </c>
      <c r="B25" s="42"/>
      <c r="C25" s="30">
        <v>3485805</v>
      </c>
      <c r="D25" s="30"/>
      <c r="E25" s="30">
        <v>1756334</v>
      </c>
      <c r="F25" s="30"/>
      <c r="G25" s="30">
        <v>5053718</v>
      </c>
      <c r="H25" s="30"/>
      <c r="I25" s="30">
        <v>6672917</v>
      </c>
      <c r="J25" s="30"/>
      <c r="K25" s="30">
        <v>9131402</v>
      </c>
      <c r="L25" s="30"/>
      <c r="M25" s="30">
        <v>9192137</v>
      </c>
      <c r="N25" s="30"/>
      <c r="O25" s="30">
        <v>0</v>
      </c>
      <c r="P25" s="30"/>
      <c r="Q25" s="30">
        <v>154177</v>
      </c>
      <c r="R25" s="30"/>
      <c r="S25" s="30">
        <v>391859</v>
      </c>
      <c r="T25" s="30"/>
      <c r="U25" s="30">
        <v>2127569</v>
      </c>
      <c r="V25" s="30"/>
      <c r="W25" s="30">
        <v>0</v>
      </c>
      <c r="X25" s="30"/>
      <c r="Y25" s="30">
        <v>277155</v>
      </c>
      <c r="Z25" s="30"/>
      <c r="AA25" s="30">
        <v>186556</v>
      </c>
      <c r="AB25" s="30"/>
      <c r="AC25" s="30">
        <f t="shared" si="0"/>
        <v>38429629</v>
      </c>
      <c r="AD25" s="30"/>
      <c r="AE25" s="103">
        <f t="shared" si="1"/>
        <v>35838349</v>
      </c>
      <c r="AF25" s="33"/>
      <c r="AG25" s="30">
        <f>477513+1994300</f>
        <v>2471813</v>
      </c>
      <c r="AH25" s="34"/>
      <c r="AI25" s="30">
        <v>11691185</v>
      </c>
      <c r="AJ25" s="34"/>
      <c r="AK25" s="24">
        <v>0</v>
      </c>
      <c r="AL25" s="34"/>
      <c r="AM25" s="34">
        <f>+'Gov Fd Rv'!Q25+'Gov Fd Rv'!S25-'Gov Fnd Exp'!AC25-AG25+AI25-'Gov Fd BS'!O25+AK25</f>
        <v>0</v>
      </c>
    </row>
    <row r="26" spans="1:39" ht="12.75" customHeight="1">
      <c r="A26" s="32" t="s">
        <v>243</v>
      </c>
      <c r="B26" s="32"/>
      <c r="C26" s="30">
        <v>3979779</v>
      </c>
      <c r="D26" s="30"/>
      <c r="E26" s="30">
        <v>2159244</v>
      </c>
      <c r="F26" s="30"/>
      <c r="G26" s="30">
        <v>5336292</v>
      </c>
      <c r="H26" s="30"/>
      <c r="I26" s="30">
        <v>4426998</v>
      </c>
      <c r="J26" s="30"/>
      <c r="K26" s="30">
        <v>5528514</v>
      </c>
      <c r="L26" s="30"/>
      <c r="M26" s="30">
        <v>10990597</v>
      </c>
      <c r="N26" s="30"/>
      <c r="O26" s="30">
        <v>654966</v>
      </c>
      <c r="P26" s="30"/>
      <c r="Q26" s="30">
        <v>0</v>
      </c>
      <c r="R26" s="30"/>
      <c r="S26" s="30">
        <v>0</v>
      </c>
      <c r="T26" s="30"/>
      <c r="U26" s="30">
        <v>4920777</v>
      </c>
      <c r="V26" s="30"/>
      <c r="W26" s="30">
        <v>754828</v>
      </c>
      <c r="X26" s="30"/>
      <c r="Y26" s="30">
        <v>3685000</v>
      </c>
      <c r="Z26" s="30"/>
      <c r="AA26" s="30">
        <f>619074+63440</f>
        <v>682514</v>
      </c>
      <c r="AB26" s="30"/>
      <c r="AC26" s="30">
        <f t="shared" si="0"/>
        <v>43119509</v>
      </c>
      <c r="AD26" s="30"/>
      <c r="AE26" s="103">
        <f t="shared" si="1"/>
        <v>33076390</v>
      </c>
      <c r="AF26" s="33"/>
      <c r="AG26" s="30">
        <v>1710852</v>
      </c>
      <c r="AH26" s="34"/>
      <c r="AI26" s="30">
        <v>15379884</v>
      </c>
      <c r="AJ26" s="34"/>
      <c r="AK26" s="24">
        <v>0</v>
      </c>
      <c r="AL26" s="34"/>
      <c r="AM26" s="34">
        <f>+'Gov Fd Rv'!Q26+'Gov Fd Rv'!S26-'Gov Fnd Exp'!AC26-AG26+AI26-'Gov Fd BS'!O26+AK26</f>
        <v>0</v>
      </c>
    </row>
    <row r="27" spans="1:39" ht="12.75" customHeight="1">
      <c r="A27" s="32" t="s">
        <v>25</v>
      </c>
      <c r="B27" s="32"/>
      <c r="C27" s="30">
        <f>81582*1000</f>
        <v>81582000</v>
      </c>
      <c r="D27" s="30"/>
      <c r="E27" s="30">
        <f>322038*1000</f>
        <v>322038000</v>
      </c>
      <c r="F27" s="30"/>
      <c r="G27" s="30">
        <v>0</v>
      </c>
      <c r="H27" s="30"/>
      <c r="I27" s="30">
        <f>48258*1000</f>
        <v>48258000</v>
      </c>
      <c r="J27" s="30"/>
      <c r="K27" s="30">
        <f>222875*1000</f>
        <v>222875000</v>
      </c>
      <c r="L27" s="30"/>
      <c r="M27" s="30">
        <f>642763*1000</f>
        <v>642763000</v>
      </c>
      <c r="N27" s="30"/>
      <c r="O27" s="30">
        <f>50676*1000</f>
        <v>50676000</v>
      </c>
      <c r="P27" s="30"/>
      <c r="Q27" s="30">
        <v>0</v>
      </c>
      <c r="R27" s="30"/>
      <c r="S27" s="30">
        <v>0</v>
      </c>
      <c r="T27" s="30"/>
      <c r="U27" s="30">
        <f>76145*1000</f>
        <v>76145000</v>
      </c>
      <c r="V27" s="30"/>
      <c r="W27" s="30">
        <v>0</v>
      </c>
      <c r="X27" s="30"/>
      <c r="Y27" s="30">
        <f>23550*1000</f>
        <v>23550000</v>
      </c>
      <c r="Z27" s="30"/>
      <c r="AA27" s="30">
        <f>(16119+1079)*1000</f>
        <v>17198000</v>
      </c>
      <c r="AB27" s="30"/>
      <c r="AC27" s="30">
        <f t="shared" si="0"/>
        <v>1485085000</v>
      </c>
      <c r="AD27" s="30"/>
      <c r="AE27" s="103">
        <f t="shared" si="1"/>
        <v>1368192000</v>
      </c>
      <c r="AF27" s="33"/>
      <c r="AG27" s="30">
        <f>(4507+230797)*1000</f>
        <v>235304000</v>
      </c>
      <c r="AH27" s="34"/>
      <c r="AI27" s="30">
        <f>410372*1000</f>
        <v>410372000</v>
      </c>
      <c r="AJ27" s="34"/>
      <c r="AK27" s="24">
        <v>0</v>
      </c>
      <c r="AL27" s="34"/>
      <c r="AM27" s="34">
        <f>+'Gov Fd Rv'!Q27+'Gov Fd Rv'!S27-'Gov Fnd Exp'!AC27-AG27+AI27-'Gov Fd BS'!O27+AK27</f>
        <v>0</v>
      </c>
    </row>
    <row r="28" spans="1:39" ht="12.75" customHeight="1" hidden="1">
      <c r="A28" s="32" t="s">
        <v>26</v>
      </c>
      <c r="B28" s="32"/>
      <c r="C28" s="30">
        <v>0</v>
      </c>
      <c r="D28" s="30"/>
      <c r="E28" s="30">
        <v>0</v>
      </c>
      <c r="F28" s="30"/>
      <c r="G28" s="30">
        <v>0</v>
      </c>
      <c r="H28" s="30"/>
      <c r="I28" s="30">
        <v>0</v>
      </c>
      <c r="J28" s="30"/>
      <c r="K28" s="30">
        <v>0</v>
      </c>
      <c r="L28" s="30"/>
      <c r="M28" s="30">
        <v>0</v>
      </c>
      <c r="N28" s="30"/>
      <c r="O28" s="30">
        <v>0</v>
      </c>
      <c r="P28" s="30"/>
      <c r="Q28" s="30">
        <v>0</v>
      </c>
      <c r="R28" s="30"/>
      <c r="S28" s="30">
        <v>0</v>
      </c>
      <c r="T28" s="30"/>
      <c r="U28" s="30">
        <v>0</v>
      </c>
      <c r="V28" s="30"/>
      <c r="W28" s="30">
        <v>0</v>
      </c>
      <c r="X28" s="30"/>
      <c r="Y28" s="30">
        <v>0</v>
      </c>
      <c r="Z28" s="30"/>
      <c r="AA28" s="30">
        <v>0</v>
      </c>
      <c r="AB28" s="30"/>
      <c r="AC28" s="30">
        <f t="shared" si="0"/>
        <v>0</v>
      </c>
      <c r="AD28" s="30"/>
      <c r="AE28" s="103">
        <f t="shared" si="1"/>
        <v>0</v>
      </c>
      <c r="AF28" s="33"/>
      <c r="AG28" s="30">
        <v>0</v>
      </c>
      <c r="AH28" s="34"/>
      <c r="AI28" s="30">
        <v>0</v>
      </c>
      <c r="AJ28" s="34"/>
      <c r="AK28" s="24">
        <v>0</v>
      </c>
      <c r="AL28" s="34"/>
      <c r="AM28" s="34">
        <f>+'Gov Fd Rv'!Q28+'Gov Fd Rv'!S28-'Gov Fnd Exp'!AC28-AG28+AI28-'Gov Fd BS'!O28+AK28</f>
        <v>0</v>
      </c>
    </row>
    <row r="29" spans="1:39" ht="12.75" customHeight="1">
      <c r="A29" s="32" t="s">
        <v>27</v>
      </c>
      <c r="B29" s="42"/>
      <c r="C29" s="30">
        <v>5020970</v>
      </c>
      <c r="D29" s="30"/>
      <c r="E29" s="30">
        <v>1583655</v>
      </c>
      <c r="F29" s="30"/>
      <c r="G29" s="30">
        <v>4380054</v>
      </c>
      <c r="H29" s="30"/>
      <c r="I29" s="30">
        <v>4180433</v>
      </c>
      <c r="J29" s="30"/>
      <c r="K29" s="30">
        <v>4809206</v>
      </c>
      <c r="L29" s="30"/>
      <c r="M29" s="30">
        <v>5095655</v>
      </c>
      <c r="N29" s="30"/>
      <c r="O29" s="30">
        <v>388303</v>
      </c>
      <c r="P29" s="30"/>
      <c r="Q29" s="30">
        <v>0</v>
      </c>
      <c r="R29" s="30"/>
      <c r="S29" s="30">
        <v>515724</v>
      </c>
      <c r="T29" s="30"/>
      <c r="U29" s="30">
        <v>7969832</v>
      </c>
      <c r="V29" s="30"/>
      <c r="W29" s="30">
        <v>0</v>
      </c>
      <c r="X29" s="30"/>
      <c r="Y29" s="30">
        <v>690946</v>
      </c>
      <c r="Z29" s="30"/>
      <c r="AA29" s="30">
        <f>174418+148103</f>
        <v>322521</v>
      </c>
      <c r="AB29" s="30"/>
      <c r="AC29" s="30">
        <f aca="true" t="shared" si="2" ref="AC29:AC92">SUM(C29:AA29)</f>
        <v>34957299</v>
      </c>
      <c r="AD29" s="30"/>
      <c r="AE29" s="103">
        <f aca="true" t="shared" si="3" ref="AE29:AE92">SUM(C29:S29)</f>
        <v>25974000</v>
      </c>
      <c r="AF29" s="33"/>
      <c r="AG29" s="30">
        <f>2288296+820073</f>
        <v>3108369</v>
      </c>
      <c r="AH29" s="34"/>
      <c r="AI29" s="30">
        <v>26425593</v>
      </c>
      <c r="AJ29" s="34"/>
      <c r="AK29" s="24">
        <v>0</v>
      </c>
      <c r="AL29" s="34"/>
      <c r="AM29" s="34">
        <f>+'Gov Fd Rv'!Q29+'Gov Fd Rv'!S29-'Gov Fnd Exp'!AC29-AG29+AI29-'Gov Fd BS'!O29+AK29</f>
        <v>0</v>
      </c>
    </row>
    <row r="30" spans="1:39" ht="12.75" customHeight="1">
      <c r="A30" s="32" t="s">
        <v>28</v>
      </c>
      <c r="B30" s="32"/>
      <c r="C30" s="30">
        <v>16401892</v>
      </c>
      <c r="D30" s="30"/>
      <c r="E30" s="30">
        <v>8673788</v>
      </c>
      <c r="F30" s="30"/>
      <c r="G30" s="30">
        <v>36075394</v>
      </c>
      <c r="H30" s="30"/>
      <c r="I30" s="30">
        <f>25931424+167861</f>
        <v>26099285</v>
      </c>
      <c r="J30" s="30"/>
      <c r="K30" s="30">
        <f>20840332</f>
        <v>20840332</v>
      </c>
      <c r="L30" s="30"/>
      <c r="M30" s="30">
        <v>9937476</v>
      </c>
      <c r="N30" s="30"/>
      <c r="O30" s="30">
        <v>0</v>
      </c>
      <c r="P30" s="30"/>
      <c r="Q30" s="30">
        <f>479594+552800</f>
        <v>1032394</v>
      </c>
      <c r="R30" s="30"/>
      <c r="S30" s="30">
        <v>0</v>
      </c>
      <c r="T30" s="30"/>
      <c r="U30" s="30">
        <v>5224294</v>
      </c>
      <c r="V30" s="30"/>
      <c r="W30" s="30">
        <v>0</v>
      </c>
      <c r="X30" s="30"/>
      <c r="Y30" s="30">
        <v>3646400</v>
      </c>
      <c r="Z30" s="30"/>
      <c r="AA30" s="30">
        <f>15965000+2081775+189711</f>
        <v>18236486</v>
      </c>
      <c r="AB30" s="30"/>
      <c r="AC30" s="30">
        <f t="shared" si="2"/>
        <v>146167741</v>
      </c>
      <c r="AD30" s="30"/>
      <c r="AE30" s="103">
        <f t="shared" si="3"/>
        <v>119060561</v>
      </c>
      <c r="AF30" s="33"/>
      <c r="AG30" s="30">
        <v>15245581</v>
      </c>
      <c r="AH30" s="34"/>
      <c r="AI30" s="30">
        <v>85645357</v>
      </c>
      <c r="AJ30" s="34"/>
      <c r="AK30" s="24">
        <v>0</v>
      </c>
      <c r="AL30" s="34"/>
      <c r="AM30" s="34">
        <f>+'Gov Fd Rv'!Q30+'Gov Fd Rv'!S30-'Gov Fnd Exp'!AC30-AG30+AI30-'Gov Fd BS'!O30+AK30</f>
        <v>0</v>
      </c>
    </row>
    <row r="31" spans="1:39" ht="12.75" customHeight="1">
      <c r="A31" s="32" t="s">
        <v>29</v>
      </c>
      <c r="B31" s="32"/>
      <c r="C31" s="30">
        <v>12373496</v>
      </c>
      <c r="D31" s="30"/>
      <c r="E31" s="30">
        <f>7161431+1416660</f>
        <v>8578091</v>
      </c>
      <c r="F31" s="30"/>
      <c r="G31" s="30">
        <v>9108140</v>
      </c>
      <c r="H31" s="30"/>
      <c r="I31" s="30">
        <v>6337760</v>
      </c>
      <c r="J31" s="30"/>
      <c r="K31" s="30">
        <v>8370858</v>
      </c>
      <c r="L31" s="30"/>
      <c r="M31" s="30">
        <v>9421775</v>
      </c>
      <c r="N31" s="30"/>
      <c r="O31" s="30">
        <v>2239873</v>
      </c>
      <c r="P31" s="30"/>
      <c r="Q31" s="30">
        <v>0</v>
      </c>
      <c r="R31" s="30"/>
      <c r="S31" s="30">
        <v>0</v>
      </c>
      <c r="T31" s="30"/>
      <c r="U31" s="30">
        <v>91490</v>
      </c>
      <c r="V31" s="30"/>
      <c r="W31" s="30">
        <v>0</v>
      </c>
      <c r="X31" s="30"/>
      <c r="Y31" s="30">
        <v>1551903</v>
      </c>
      <c r="Z31" s="30"/>
      <c r="AA31" s="30">
        <v>710313</v>
      </c>
      <c r="AB31" s="30"/>
      <c r="AC31" s="30">
        <f t="shared" si="2"/>
        <v>58783699</v>
      </c>
      <c r="AD31" s="30"/>
      <c r="AE31" s="103">
        <f t="shared" si="3"/>
        <v>56429993</v>
      </c>
      <c r="AF31" s="33"/>
      <c r="AG31" s="30">
        <v>4100593</v>
      </c>
      <c r="AH31" s="34"/>
      <c r="AI31" s="30">
        <v>22423021</v>
      </c>
      <c r="AJ31" s="34"/>
      <c r="AK31" s="24">
        <v>0</v>
      </c>
      <c r="AL31" s="34"/>
      <c r="AM31" s="34">
        <f>+'Gov Fd Rv'!Q31+'Gov Fd Rv'!S31-'Gov Fnd Exp'!AC31-AG31+AI31-'Gov Fd BS'!O31+AK31</f>
        <v>0</v>
      </c>
    </row>
    <row r="32" spans="1:39" ht="12.75" customHeight="1">
      <c r="A32" s="32" t="s">
        <v>30</v>
      </c>
      <c r="B32" s="32"/>
      <c r="C32" s="30">
        <v>11027554</v>
      </c>
      <c r="D32" s="30"/>
      <c r="E32" s="30">
        <v>6454113</v>
      </c>
      <c r="F32" s="30"/>
      <c r="G32" s="30">
        <v>16056808</v>
      </c>
      <c r="H32" s="30"/>
      <c r="I32" s="30">
        <v>9150269</v>
      </c>
      <c r="J32" s="30"/>
      <c r="K32" s="30">
        <v>24221277</v>
      </c>
      <c r="L32" s="30"/>
      <c r="M32" s="30">
        <v>21402599</v>
      </c>
      <c r="N32" s="30"/>
      <c r="O32" s="30">
        <v>1627886</v>
      </c>
      <c r="P32" s="30"/>
      <c r="Q32" s="30">
        <v>0</v>
      </c>
      <c r="R32" s="30"/>
      <c r="S32" s="30">
        <f>59696+92781</f>
        <v>152477</v>
      </c>
      <c r="T32" s="30"/>
      <c r="U32" s="30">
        <v>2978737</v>
      </c>
      <c r="V32" s="30"/>
      <c r="W32" s="30">
        <v>1635496</v>
      </c>
      <c r="X32" s="30"/>
      <c r="Y32" s="30">
        <v>3350055</v>
      </c>
      <c r="Z32" s="30"/>
      <c r="AA32" s="30">
        <f>690510+152027</f>
        <v>842537</v>
      </c>
      <c r="AB32" s="30"/>
      <c r="AC32" s="30">
        <f t="shared" si="2"/>
        <v>98899808</v>
      </c>
      <c r="AD32" s="30"/>
      <c r="AE32" s="103">
        <f t="shared" si="3"/>
        <v>90092983</v>
      </c>
      <c r="AF32" s="33"/>
      <c r="AG32" s="30">
        <f>10716646+5750294</f>
        <v>16466940</v>
      </c>
      <c r="AH32" s="34"/>
      <c r="AI32" s="30">
        <v>45422846</v>
      </c>
      <c r="AJ32" s="34"/>
      <c r="AK32" s="24">
        <v>0</v>
      </c>
      <c r="AL32" s="34"/>
      <c r="AM32" s="34">
        <f>+'Gov Fd Rv'!Q32+'Gov Fd Rv'!S32-'Gov Fnd Exp'!AC32-AG32+AI32-'Gov Fd BS'!O32+AK32</f>
        <v>0</v>
      </c>
    </row>
    <row r="33" spans="1:39" ht="12.75" customHeight="1" hidden="1">
      <c r="A33" s="32" t="s">
        <v>239</v>
      </c>
      <c r="B33" s="32"/>
      <c r="C33" s="30">
        <v>0</v>
      </c>
      <c r="D33" s="30"/>
      <c r="E33" s="30">
        <v>0</v>
      </c>
      <c r="F33" s="30"/>
      <c r="G33" s="30">
        <v>0</v>
      </c>
      <c r="H33" s="30"/>
      <c r="I33" s="30">
        <v>0</v>
      </c>
      <c r="J33" s="30"/>
      <c r="K33" s="30">
        <v>0</v>
      </c>
      <c r="L33" s="30"/>
      <c r="M33" s="30">
        <v>0</v>
      </c>
      <c r="N33" s="30"/>
      <c r="O33" s="30">
        <v>0</v>
      </c>
      <c r="P33" s="30"/>
      <c r="Q33" s="30">
        <v>0</v>
      </c>
      <c r="R33" s="30"/>
      <c r="S33" s="30">
        <v>0</v>
      </c>
      <c r="T33" s="30"/>
      <c r="U33" s="30"/>
      <c r="V33" s="30"/>
      <c r="W33" s="30">
        <v>0</v>
      </c>
      <c r="X33" s="30"/>
      <c r="Y33" s="30">
        <v>0</v>
      </c>
      <c r="Z33" s="30"/>
      <c r="AA33" s="30">
        <v>0</v>
      </c>
      <c r="AB33" s="30"/>
      <c r="AC33" s="30">
        <f t="shared" si="2"/>
        <v>0</v>
      </c>
      <c r="AD33" s="30"/>
      <c r="AE33" s="103">
        <f t="shared" si="3"/>
        <v>0</v>
      </c>
      <c r="AF33" s="33"/>
      <c r="AG33" s="30">
        <v>0</v>
      </c>
      <c r="AH33" s="34"/>
      <c r="AI33" s="30">
        <v>0</v>
      </c>
      <c r="AJ33" s="34"/>
      <c r="AK33" s="24">
        <v>0</v>
      </c>
      <c r="AL33" s="34"/>
      <c r="AM33" s="34">
        <f>+'Gov Fd Rv'!Q33+'Gov Fd Rv'!S33-'Gov Fnd Exp'!AC33-AG33+AI33-'Gov Fd BS'!O33+AK33</f>
        <v>0</v>
      </c>
    </row>
    <row r="34" spans="1:39" ht="12.75" customHeight="1">
      <c r="A34" s="32" t="s">
        <v>32</v>
      </c>
      <c r="B34" s="32"/>
      <c r="C34" s="30">
        <f>110619*1000</f>
        <v>110619000</v>
      </c>
      <c r="D34" s="30"/>
      <c r="E34" s="30">
        <f>71873*1000</f>
        <v>71873000</v>
      </c>
      <c r="F34" s="30"/>
      <c r="G34" s="30">
        <f>133933*1000</f>
        <v>133933000</v>
      </c>
      <c r="H34" s="30"/>
      <c r="I34" s="30">
        <f>43508*1000</f>
        <v>43508000</v>
      </c>
      <c r="J34" s="30"/>
      <c r="K34" s="30">
        <f>360711*1000</f>
        <v>360711000</v>
      </c>
      <c r="L34" s="30"/>
      <c r="M34" s="30">
        <f>308775*1000</f>
        <v>308775000</v>
      </c>
      <c r="N34" s="30"/>
      <c r="O34" s="30">
        <f>5893*1000</f>
        <v>5893000</v>
      </c>
      <c r="P34" s="30"/>
      <c r="Q34" s="30">
        <f>19576*1000</f>
        <v>19576000</v>
      </c>
      <c r="R34" s="30"/>
      <c r="S34" s="30">
        <v>0</v>
      </c>
      <c r="T34" s="30"/>
      <c r="U34" s="30">
        <f>58693*1000</f>
        <v>58693000</v>
      </c>
      <c r="V34" s="30"/>
      <c r="W34" s="30">
        <f>16793*1000</f>
        <v>16793000</v>
      </c>
      <c r="X34" s="30"/>
      <c r="Y34" s="30">
        <f>51487*1000</f>
        <v>51487000</v>
      </c>
      <c r="Z34" s="30"/>
      <c r="AA34" s="30">
        <f>(15145+416)*1000</f>
        <v>15561000</v>
      </c>
      <c r="AB34" s="30"/>
      <c r="AC34" s="30">
        <f t="shared" si="2"/>
        <v>1197422000</v>
      </c>
      <c r="AD34" s="30"/>
      <c r="AE34" s="103">
        <f t="shared" si="3"/>
        <v>1054888000</v>
      </c>
      <c r="AF34" s="33"/>
      <c r="AG34" s="30">
        <f>33365*1000</f>
        <v>33365000</v>
      </c>
      <c r="AH34" s="34"/>
      <c r="AI34" s="30">
        <f>714397*1000</f>
        <v>714397000</v>
      </c>
      <c r="AJ34" s="34"/>
      <c r="AK34" s="24">
        <v>0</v>
      </c>
      <c r="AL34" s="34"/>
      <c r="AM34" s="34">
        <f>+'Gov Fd Rv'!Q34+'Gov Fd Rv'!S34-'Gov Fnd Exp'!AC34-AG34+AI34-'Gov Fd BS'!O34+AK34</f>
        <v>0</v>
      </c>
    </row>
    <row r="35" spans="1:39" ht="12.75" customHeight="1">
      <c r="A35" s="32" t="s">
        <v>33</v>
      </c>
      <c r="B35" s="32"/>
      <c r="C35" s="30">
        <v>4084163</v>
      </c>
      <c r="D35" s="30"/>
      <c r="E35" s="30">
        <v>1798374</v>
      </c>
      <c r="F35" s="30"/>
      <c r="G35" s="30">
        <v>6595853</v>
      </c>
      <c r="H35" s="30"/>
      <c r="I35" s="30">
        <v>3917959</v>
      </c>
      <c r="J35" s="30"/>
      <c r="K35" s="30">
        <v>5255274</v>
      </c>
      <c r="L35" s="30"/>
      <c r="M35" s="30">
        <v>4644760</v>
      </c>
      <c r="N35" s="30"/>
      <c r="O35" s="30">
        <v>2644974</v>
      </c>
      <c r="P35" s="30"/>
      <c r="Q35" s="30">
        <v>0</v>
      </c>
      <c r="R35" s="30"/>
      <c r="S35" s="30">
        <v>14766</v>
      </c>
      <c r="T35" s="30"/>
      <c r="U35" s="30">
        <v>3103534</v>
      </c>
      <c r="V35" s="30"/>
      <c r="W35" s="30">
        <v>616371</v>
      </c>
      <c r="X35" s="30"/>
      <c r="Y35" s="30">
        <v>334517</v>
      </c>
      <c r="Z35" s="30"/>
      <c r="AA35" s="30">
        <v>71484</v>
      </c>
      <c r="AB35" s="30"/>
      <c r="AC35" s="30">
        <f t="shared" si="2"/>
        <v>33082029</v>
      </c>
      <c r="AD35" s="30"/>
      <c r="AE35" s="103">
        <f t="shared" si="3"/>
        <v>28956123</v>
      </c>
      <c r="AF35" s="33"/>
      <c r="AG35" s="30">
        <v>454699</v>
      </c>
      <c r="AH35" s="34"/>
      <c r="AI35" s="30">
        <v>24115410</v>
      </c>
      <c r="AJ35" s="34"/>
      <c r="AK35" s="24">
        <v>0</v>
      </c>
      <c r="AL35" s="34"/>
      <c r="AM35" s="34">
        <f>+'Gov Fd Rv'!Q35+'Gov Fd Rv'!S35-'Gov Fnd Exp'!AC35-AG35+AI35-'Gov Fd BS'!O35+AK35</f>
        <v>0</v>
      </c>
    </row>
    <row r="36" spans="1:39" ht="12.75" customHeight="1">
      <c r="A36" s="32" t="s">
        <v>34</v>
      </c>
      <c r="B36" s="32"/>
      <c r="C36" s="30">
        <v>3419871</v>
      </c>
      <c r="D36" s="30"/>
      <c r="E36" s="30">
        <v>1644707</v>
      </c>
      <c r="F36" s="30"/>
      <c r="G36" s="30">
        <v>5781128</v>
      </c>
      <c r="H36" s="30"/>
      <c r="I36" s="30">
        <v>5042835</v>
      </c>
      <c r="J36" s="30"/>
      <c r="K36" s="30">
        <v>2941874</v>
      </c>
      <c r="L36" s="30"/>
      <c r="M36" s="30">
        <v>6120094</v>
      </c>
      <c r="N36" s="30"/>
      <c r="O36" s="30">
        <v>546305</v>
      </c>
      <c r="P36" s="30"/>
      <c r="Q36" s="30">
        <v>222846</v>
      </c>
      <c r="R36" s="30"/>
      <c r="S36" s="30">
        <v>222086</v>
      </c>
      <c r="T36" s="30"/>
      <c r="U36" s="30">
        <v>1261871</v>
      </c>
      <c r="V36" s="30"/>
      <c r="W36" s="30">
        <v>0</v>
      </c>
      <c r="X36" s="30"/>
      <c r="Y36" s="30">
        <v>240513</v>
      </c>
      <c r="Z36" s="30"/>
      <c r="AA36" s="30">
        <v>96824</v>
      </c>
      <c r="AB36" s="30"/>
      <c r="AC36" s="30">
        <f t="shared" si="2"/>
        <v>27540954</v>
      </c>
      <c r="AD36" s="30"/>
      <c r="AE36" s="103">
        <f t="shared" si="3"/>
        <v>25941746</v>
      </c>
      <c r="AF36" s="33"/>
      <c r="AG36" s="30">
        <v>1186845</v>
      </c>
      <c r="AH36" s="34"/>
      <c r="AI36" s="30">
        <v>5236919</v>
      </c>
      <c r="AJ36" s="34"/>
      <c r="AK36" s="24">
        <v>0</v>
      </c>
      <c r="AL36" s="34"/>
      <c r="AM36" s="34">
        <f>+'Gov Fd Rv'!Q36+'Gov Fd Rv'!S36-'Gov Fnd Exp'!AC36-AG36+AI36-'Gov Fd BS'!O36+AK36</f>
        <v>0</v>
      </c>
    </row>
    <row r="37" spans="1:39" ht="12.75" customHeight="1">
      <c r="A37" s="32" t="s">
        <v>35</v>
      </c>
      <c r="B37" s="32"/>
      <c r="C37" s="30">
        <v>11267955</v>
      </c>
      <c r="D37" s="30"/>
      <c r="E37" s="30">
        <v>3998110</v>
      </c>
      <c r="F37" s="30"/>
      <c r="G37" s="30">
        <v>12767034</v>
      </c>
      <c r="H37" s="30"/>
      <c r="I37" s="30">
        <v>7431673</v>
      </c>
      <c r="J37" s="30"/>
      <c r="K37" s="30">
        <v>9191408</v>
      </c>
      <c r="L37" s="30"/>
      <c r="M37" s="30">
        <v>29087840</v>
      </c>
      <c r="N37" s="30"/>
      <c r="O37" s="30">
        <v>299691</v>
      </c>
      <c r="P37" s="30"/>
      <c r="Q37" s="30">
        <v>0</v>
      </c>
      <c r="R37" s="30"/>
      <c r="S37" s="30">
        <v>0</v>
      </c>
      <c r="T37" s="30"/>
      <c r="U37" s="30">
        <v>11685708</v>
      </c>
      <c r="V37" s="30"/>
      <c r="W37" s="30">
        <v>0</v>
      </c>
      <c r="X37" s="30"/>
      <c r="Y37" s="30">
        <v>581322</v>
      </c>
      <c r="Z37" s="30"/>
      <c r="AA37" s="30">
        <v>204500</v>
      </c>
      <c r="AB37" s="30"/>
      <c r="AC37" s="30">
        <f>SUM(C37:AA37)</f>
        <v>86515241</v>
      </c>
      <c r="AD37" s="30"/>
      <c r="AE37" s="103">
        <f t="shared" si="3"/>
        <v>74043711</v>
      </c>
      <c r="AF37" s="33"/>
      <c r="AG37" s="30">
        <v>5896870</v>
      </c>
      <c r="AH37" s="34"/>
      <c r="AI37" s="30">
        <v>35717158</v>
      </c>
      <c r="AJ37" s="34"/>
      <c r="AK37" s="24">
        <v>0</v>
      </c>
      <c r="AL37" s="34"/>
      <c r="AM37" s="34">
        <f>+'Gov Fd Rv'!Q37+'Gov Fd Rv'!S37-'Gov Fnd Exp'!AC37-AG37+AI37-'Gov Fd BS'!O37+AK37</f>
        <v>0</v>
      </c>
    </row>
    <row r="38" spans="1:39" ht="12.75" customHeight="1">
      <c r="A38" s="32" t="s">
        <v>182</v>
      </c>
      <c r="B38" s="32"/>
      <c r="C38" s="30">
        <v>15467603</v>
      </c>
      <c r="D38" s="30"/>
      <c r="E38" s="30">
        <v>6477065</v>
      </c>
      <c r="F38" s="30"/>
      <c r="G38" s="30">
        <v>19562088</v>
      </c>
      <c r="H38" s="30"/>
      <c r="I38" s="30">
        <v>10889926</v>
      </c>
      <c r="J38" s="30"/>
      <c r="K38" s="30">
        <v>22887390</v>
      </c>
      <c r="L38" s="30"/>
      <c r="M38" s="30">
        <v>29820619</v>
      </c>
      <c r="N38" s="30"/>
      <c r="O38" s="30">
        <v>2479520</v>
      </c>
      <c r="P38" s="30"/>
      <c r="Q38" s="30">
        <v>3610643</v>
      </c>
      <c r="R38" s="30"/>
      <c r="S38" s="30">
        <v>0</v>
      </c>
      <c r="T38" s="30"/>
      <c r="U38" s="30">
        <v>150657</v>
      </c>
      <c r="V38" s="30"/>
      <c r="W38" s="30">
        <v>0</v>
      </c>
      <c r="X38" s="30"/>
      <c r="Y38" s="30">
        <v>13207669</v>
      </c>
      <c r="Z38" s="30"/>
      <c r="AA38" s="30">
        <v>1155307</v>
      </c>
      <c r="AB38" s="30"/>
      <c r="AC38" s="30">
        <f t="shared" si="2"/>
        <v>125708487</v>
      </c>
      <c r="AD38" s="30"/>
      <c r="AE38" s="103">
        <f t="shared" si="3"/>
        <v>111194854</v>
      </c>
      <c r="AF38" s="33"/>
      <c r="AG38" s="30">
        <v>2787257</v>
      </c>
      <c r="AH38" s="34"/>
      <c r="AI38" s="30">
        <v>59962367</v>
      </c>
      <c r="AJ38" s="34"/>
      <c r="AK38" s="24">
        <v>0</v>
      </c>
      <c r="AL38" s="34"/>
      <c r="AM38" s="34">
        <f>+'Gov Fd Rv'!Q38+'Gov Fd Rv'!S38-'Gov Fnd Exp'!AC38-AG38+AI38-'Gov Fd BS'!O38+AK38</f>
        <v>0</v>
      </c>
    </row>
    <row r="39" spans="1:39" ht="12.75" customHeight="1" hidden="1">
      <c r="A39" s="32" t="s">
        <v>244</v>
      </c>
      <c r="B39" s="32"/>
      <c r="C39" s="24">
        <v>0</v>
      </c>
      <c r="D39" s="30"/>
      <c r="E39" s="24">
        <v>0</v>
      </c>
      <c r="F39" s="30"/>
      <c r="G39" s="24">
        <v>0</v>
      </c>
      <c r="H39" s="30"/>
      <c r="I39" s="24">
        <v>0</v>
      </c>
      <c r="J39" s="30"/>
      <c r="K39" s="24">
        <v>0</v>
      </c>
      <c r="L39" s="30"/>
      <c r="M39" s="24">
        <v>0</v>
      </c>
      <c r="N39" s="30"/>
      <c r="O39" s="24">
        <v>0</v>
      </c>
      <c r="P39" s="30"/>
      <c r="Q39" s="24">
        <v>0</v>
      </c>
      <c r="R39" s="30"/>
      <c r="S39" s="24">
        <v>0</v>
      </c>
      <c r="T39" s="30"/>
      <c r="U39" s="24">
        <v>0</v>
      </c>
      <c r="V39" s="30"/>
      <c r="W39" s="24">
        <v>0</v>
      </c>
      <c r="X39" s="30"/>
      <c r="Y39" s="24">
        <v>0</v>
      </c>
      <c r="Z39" s="30"/>
      <c r="AA39" s="24">
        <v>0</v>
      </c>
      <c r="AB39" s="30"/>
      <c r="AC39" s="30">
        <f t="shared" si="2"/>
        <v>0</v>
      </c>
      <c r="AD39" s="30"/>
      <c r="AE39" s="103">
        <f t="shared" si="3"/>
        <v>0</v>
      </c>
      <c r="AF39" s="33"/>
      <c r="AG39" s="24">
        <v>0</v>
      </c>
      <c r="AH39" s="34"/>
      <c r="AI39" s="24">
        <v>0</v>
      </c>
      <c r="AJ39" s="34"/>
      <c r="AK39" s="24">
        <v>0</v>
      </c>
      <c r="AL39" s="34"/>
      <c r="AM39" s="34">
        <f>+'Gov Fd Rv'!Q39+'Gov Fd Rv'!S39-'Gov Fnd Exp'!AC39-AG39+AI39-'Gov Fd BS'!O39+AK39</f>
        <v>0</v>
      </c>
    </row>
    <row r="40" spans="1:39" ht="12.75" customHeight="1" hidden="1">
      <c r="A40" s="32" t="s">
        <v>37</v>
      </c>
      <c r="B40" s="32"/>
      <c r="C40" s="24">
        <v>0</v>
      </c>
      <c r="D40" s="30"/>
      <c r="E40" s="24">
        <v>0</v>
      </c>
      <c r="F40" s="30"/>
      <c r="G40" s="24">
        <v>0</v>
      </c>
      <c r="H40" s="30"/>
      <c r="I40" s="24">
        <v>0</v>
      </c>
      <c r="J40" s="30"/>
      <c r="K40" s="24">
        <v>0</v>
      </c>
      <c r="L40" s="30"/>
      <c r="M40" s="24">
        <v>0</v>
      </c>
      <c r="N40" s="30"/>
      <c r="O40" s="24">
        <v>0</v>
      </c>
      <c r="P40" s="30"/>
      <c r="Q40" s="24">
        <v>0</v>
      </c>
      <c r="R40" s="30"/>
      <c r="S40" s="24">
        <v>0</v>
      </c>
      <c r="T40" s="30"/>
      <c r="U40" s="24">
        <v>0</v>
      </c>
      <c r="V40" s="30"/>
      <c r="W40" s="24">
        <v>0</v>
      </c>
      <c r="X40" s="30"/>
      <c r="Y40" s="24">
        <v>0</v>
      </c>
      <c r="Z40" s="30"/>
      <c r="AA40" s="24">
        <v>0</v>
      </c>
      <c r="AB40" s="30"/>
      <c r="AC40" s="30">
        <f t="shared" si="2"/>
        <v>0</v>
      </c>
      <c r="AD40" s="30"/>
      <c r="AE40" s="103">
        <f>SUM(C40:S40)</f>
        <v>0</v>
      </c>
      <c r="AF40" s="33"/>
      <c r="AG40" s="24">
        <v>0</v>
      </c>
      <c r="AH40" s="34"/>
      <c r="AI40" s="24">
        <v>0</v>
      </c>
      <c r="AJ40" s="34"/>
      <c r="AK40" s="24">
        <v>0</v>
      </c>
      <c r="AL40" s="34"/>
      <c r="AM40" s="34">
        <f>+'Gov Fd Rv'!Q40+'Gov Fd Rv'!S40-'Gov Fnd Exp'!AC40-AG40+AI40-'Gov Fd BS'!O40+AK40</f>
        <v>0</v>
      </c>
    </row>
    <row r="41" spans="1:39" ht="12.75" customHeight="1">
      <c r="A41" s="32" t="s">
        <v>38</v>
      </c>
      <c r="B41" s="32"/>
      <c r="C41" s="24">
        <v>6522068</v>
      </c>
      <c r="D41" s="30"/>
      <c r="E41" s="24">
        <v>3567055</v>
      </c>
      <c r="F41" s="30"/>
      <c r="G41" s="24">
        <v>7056803</v>
      </c>
      <c r="H41" s="30"/>
      <c r="I41" s="24">
        <v>5578673</v>
      </c>
      <c r="J41" s="30"/>
      <c r="K41" s="24">
        <v>16994090</v>
      </c>
      <c r="L41" s="30"/>
      <c r="M41" s="24">
        <v>10319360</v>
      </c>
      <c r="N41" s="30"/>
      <c r="O41" s="24">
        <v>171049</v>
      </c>
      <c r="P41" s="30"/>
      <c r="Q41" s="24">
        <v>1007216</v>
      </c>
      <c r="R41" s="30"/>
      <c r="S41" s="24">
        <v>0</v>
      </c>
      <c r="T41" s="30"/>
      <c r="U41" s="24">
        <v>5545429</v>
      </c>
      <c r="V41" s="30"/>
      <c r="W41" s="24">
        <v>0</v>
      </c>
      <c r="X41" s="30"/>
      <c r="Y41" s="24">
        <v>1594843</v>
      </c>
      <c r="Z41" s="30"/>
      <c r="AA41" s="24">
        <v>615784</v>
      </c>
      <c r="AB41" s="30"/>
      <c r="AC41" s="30">
        <f t="shared" si="2"/>
        <v>58972370</v>
      </c>
      <c r="AD41" s="30"/>
      <c r="AE41" s="103">
        <f t="shared" si="3"/>
        <v>51216314</v>
      </c>
      <c r="AF41" s="33"/>
      <c r="AG41" s="24">
        <v>5432693</v>
      </c>
      <c r="AH41" s="34"/>
      <c r="AI41" s="24">
        <v>29185900</v>
      </c>
      <c r="AJ41" s="34"/>
      <c r="AK41" s="24">
        <v>0</v>
      </c>
      <c r="AL41" s="34"/>
      <c r="AM41" s="34">
        <f>+'Gov Fd Rv'!Q41+'Gov Fd Rv'!S41-'Gov Fnd Exp'!AC41-AG41+AI41-'Gov Fd BS'!O41+AK41</f>
        <v>0</v>
      </c>
    </row>
    <row r="42" spans="1:39" ht="12.75" customHeight="1" hidden="1">
      <c r="A42" s="32" t="s">
        <v>169</v>
      </c>
      <c r="B42" s="32"/>
      <c r="C42" s="24">
        <v>0</v>
      </c>
      <c r="D42" s="30"/>
      <c r="E42" s="24">
        <v>0</v>
      </c>
      <c r="F42" s="30"/>
      <c r="G42" s="24">
        <v>0</v>
      </c>
      <c r="H42" s="30"/>
      <c r="I42" s="24">
        <v>0</v>
      </c>
      <c r="J42" s="30"/>
      <c r="K42" s="24">
        <v>0</v>
      </c>
      <c r="L42" s="30"/>
      <c r="M42" s="24">
        <v>0</v>
      </c>
      <c r="N42" s="30"/>
      <c r="O42" s="24">
        <v>0</v>
      </c>
      <c r="P42" s="30"/>
      <c r="Q42" s="24">
        <v>0</v>
      </c>
      <c r="R42" s="30"/>
      <c r="S42" s="24">
        <v>0</v>
      </c>
      <c r="T42" s="30"/>
      <c r="U42" s="24">
        <v>0</v>
      </c>
      <c r="V42" s="30"/>
      <c r="W42" s="24">
        <v>0</v>
      </c>
      <c r="X42" s="30"/>
      <c r="Y42" s="24">
        <v>0</v>
      </c>
      <c r="Z42" s="30"/>
      <c r="AA42" s="24">
        <v>0</v>
      </c>
      <c r="AB42" s="30"/>
      <c r="AC42" s="30">
        <f t="shared" si="2"/>
        <v>0</v>
      </c>
      <c r="AD42" s="30"/>
      <c r="AE42" s="103">
        <f t="shared" si="3"/>
        <v>0</v>
      </c>
      <c r="AF42" s="33"/>
      <c r="AG42" s="24">
        <v>0</v>
      </c>
      <c r="AH42" s="34"/>
      <c r="AI42" s="24">
        <v>0</v>
      </c>
      <c r="AJ42" s="34"/>
      <c r="AK42" s="24">
        <v>0</v>
      </c>
      <c r="AL42" s="34"/>
      <c r="AM42" s="34">
        <f>+'Gov Fd Rv'!Q42+'Gov Fd Rv'!S42-'Gov Fnd Exp'!AC42-AG42+AI42-'Gov Fd BS'!O42+AK42</f>
        <v>0</v>
      </c>
    </row>
    <row r="43" spans="1:39" ht="12.75" customHeight="1" hidden="1">
      <c r="A43" s="32" t="s">
        <v>39</v>
      </c>
      <c r="B43" s="32"/>
      <c r="C43" s="24">
        <v>0</v>
      </c>
      <c r="D43" s="30"/>
      <c r="E43" s="24">
        <v>0</v>
      </c>
      <c r="F43" s="30"/>
      <c r="G43" s="24">
        <v>0</v>
      </c>
      <c r="H43" s="30"/>
      <c r="I43" s="24">
        <v>0</v>
      </c>
      <c r="J43" s="30"/>
      <c r="K43" s="24">
        <v>0</v>
      </c>
      <c r="L43" s="30"/>
      <c r="M43" s="24">
        <v>0</v>
      </c>
      <c r="N43" s="30"/>
      <c r="O43" s="24">
        <v>0</v>
      </c>
      <c r="P43" s="30"/>
      <c r="Q43" s="24">
        <v>0</v>
      </c>
      <c r="R43" s="30"/>
      <c r="S43" s="24">
        <v>0</v>
      </c>
      <c r="T43" s="30"/>
      <c r="U43" s="24">
        <v>0</v>
      </c>
      <c r="V43" s="30"/>
      <c r="W43" s="24">
        <v>0</v>
      </c>
      <c r="X43" s="30"/>
      <c r="Y43" s="24">
        <v>0</v>
      </c>
      <c r="Z43" s="30"/>
      <c r="AA43" s="24">
        <v>0</v>
      </c>
      <c r="AB43" s="30"/>
      <c r="AC43" s="30">
        <f t="shared" si="2"/>
        <v>0</v>
      </c>
      <c r="AD43" s="30"/>
      <c r="AE43" s="103">
        <f t="shared" si="3"/>
        <v>0</v>
      </c>
      <c r="AF43" s="33"/>
      <c r="AG43" s="24">
        <v>0</v>
      </c>
      <c r="AH43" s="34"/>
      <c r="AI43" s="24">
        <v>0</v>
      </c>
      <c r="AJ43" s="34"/>
      <c r="AK43" s="24">
        <v>0</v>
      </c>
      <c r="AL43" s="34"/>
      <c r="AM43" s="34">
        <f>+'Gov Fd Rv'!Q43+'Gov Fd Rv'!S43-'Gov Fnd Exp'!AC43-AG43+AI43-'Gov Fd BS'!O43+AK43</f>
        <v>0</v>
      </c>
    </row>
    <row r="44" spans="1:39" ht="12.75" customHeight="1">
      <c r="A44" s="32" t="s">
        <v>40</v>
      </c>
      <c r="B44" s="32"/>
      <c r="C44" s="24">
        <v>2764588</v>
      </c>
      <c r="D44" s="30"/>
      <c r="E44" s="24">
        <v>1478049</v>
      </c>
      <c r="F44" s="30"/>
      <c r="G44" s="24">
        <v>3324825</v>
      </c>
      <c r="H44" s="30"/>
      <c r="I44" s="24">
        <v>4486963</v>
      </c>
      <c r="J44" s="30"/>
      <c r="K44" s="24">
        <v>1716261</v>
      </c>
      <c r="L44" s="30"/>
      <c r="M44" s="24">
        <v>12052574</v>
      </c>
      <c r="N44" s="30"/>
      <c r="O44" s="24">
        <v>942230</v>
      </c>
      <c r="P44" s="30"/>
      <c r="Q44" s="24">
        <v>0</v>
      </c>
      <c r="R44" s="30"/>
      <c r="S44" s="24">
        <f>505334+174059</f>
        <v>679393</v>
      </c>
      <c r="T44" s="30"/>
      <c r="U44" s="24">
        <v>329583</v>
      </c>
      <c r="V44" s="30"/>
      <c r="W44" s="24">
        <v>285907</v>
      </c>
      <c r="X44" s="30"/>
      <c r="Y44" s="24">
        <v>116038</v>
      </c>
      <c r="Z44" s="30"/>
      <c r="AA44" s="24">
        <v>20239</v>
      </c>
      <c r="AB44" s="30"/>
      <c r="AC44" s="30">
        <f t="shared" si="2"/>
        <v>28196650</v>
      </c>
      <c r="AD44" s="30"/>
      <c r="AE44" s="103">
        <f t="shared" si="3"/>
        <v>27444883</v>
      </c>
      <c r="AF44" s="33"/>
      <c r="AG44" s="24">
        <v>1850850</v>
      </c>
      <c r="AH44" s="34"/>
      <c r="AI44" s="24">
        <v>15050068</v>
      </c>
      <c r="AJ44" s="34"/>
      <c r="AK44" s="24">
        <v>0</v>
      </c>
      <c r="AL44" s="34"/>
      <c r="AM44" s="34">
        <f>+'Gov Fd Rv'!Q44+'Gov Fd Rv'!S44-'Gov Fnd Exp'!AC44-AG44+AI44-'Gov Fd BS'!O44+AK44</f>
        <v>0</v>
      </c>
    </row>
    <row r="45" spans="1:39" ht="12.75" customHeight="1" hidden="1">
      <c r="A45" s="32" t="s">
        <v>41</v>
      </c>
      <c r="B45" s="32"/>
      <c r="C45" s="24">
        <v>0</v>
      </c>
      <c r="D45" s="30"/>
      <c r="E45" s="24">
        <v>0</v>
      </c>
      <c r="F45" s="30"/>
      <c r="G45" s="24">
        <v>0</v>
      </c>
      <c r="H45" s="30"/>
      <c r="I45" s="24">
        <v>0</v>
      </c>
      <c r="J45" s="30"/>
      <c r="K45" s="24">
        <v>0</v>
      </c>
      <c r="L45" s="30"/>
      <c r="M45" s="24">
        <v>0</v>
      </c>
      <c r="N45" s="30"/>
      <c r="O45" s="24">
        <v>0</v>
      </c>
      <c r="P45" s="30"/>
      <c r="Q45" s="24">
        <v>0</v>
      </c>
      <c r="R45" s="30"/>
      <c r="S45" s="24">
        <v>0</v>
      </c>
      <c r="T45" s="30"/>
      <c r="U45" s="24">
        <v>0</v>
      </c>
      <c r="V45" s="30"/>
      <c r="W45" s="24">
        <v>0</v>
      </c>
      <c r="X45" s="30"/>
      <c r="Y45" s="24">
        <v>0</v>
      </c>
      <c r="Z45" s="30"/>
      <c r="AA45" s="24">
        <v>0</v>
      </c>
      <c r="AB45" s="30"/>
      <c r="AC45" s="30">
        <f t="shared" si="2"/>
        <v>0</v>
      </c>
      <c r="AD45" s="30"/>
      <c r="AE45" s="103">
        <f t="shared" si="3"/>
        <v>0</v>
      </c>
      <c r="AF45" s="33"/>
      <c r="AG45" s="24">
        <v>0</v>
      </c>
      <c r="AH45" s="34"/>
      <c r="AI45" s="24">
        <v>0</v>
      </c>
      <c r="AJ45" s="34"/>
      <c r="AK45" s="24">
        <v>0</v>
      </c>
      <c r="AL45" s="34"/>
      <c r="AM45" s="34">
        <f>+'Gov Fd Rv'!Q45+'Gov Fd Rv'!S45-'Gov Fnd Exp'!AC45-AG45+AI45-'Gov Fd BS'!O45+AK45</f>
        <v>0</v>
      </c>
    </row>
    <row r="46" spans="1:39" ht="12.75" customHeight="1">
      <c r="A46" s="32" t="s">
        <v>42</v>
      </c>
      <c r="B46" s="32"/>
      <c r="C46" s="24">
        <v>3122052</v>
      </c>
      <c r="D46" s="145"/>
      <c r="E46" s="24">
        <v>1853128</v>
      </c>
      <c r="F46" s="145"/>
      <c r="G46" s="24">
        <v>3557576</v>
      </c>
      <c r="H46" s="145"/>
      <c r="I46" s="24">
        <v>2752117</v>
      </c>
      <c r="J46" s="145"/>
      <c r="K46" s="24">
        <v>4391773</v>
      </c>
      <c r="L46" s="145"/>
      <c r="M46" s="24">
        <v>7260223</v>
      </c>
      <c r="N46" s="145"/>
      <c r="O46" s="24">
        <v>696100</v>
      </c>
      <c r="P46" s="145"/>
      <c r="Q46" s="24">
        <v>255206</v>
      </c>
      <c r="R46" s="145"/>
      <c r="S46" s="24">
        <v>70763</v>
      </c>
      <c r="T46" s="145"/>
      <c r="U46" s="24">
        <v>2367201</v>
      </c>
      <c r="V46" s="145"/>
      <c r="W46" s="24">
        <v>12866</v>
      </c>
      <c r="X46" s="145"/>
      <c r="Y46" s="24">
        <v>254226</v>
      </c>
      <c r="Z46" s="145"/>
      <c r="AA46" s="24">
        <v>45691</v>
      </c>
      <c r="AB46" s="145"/>
      <c r="AC46" s="145">
        <f>SUM(C46:AA46)</f>
        <v>26638922</v>
      </c>
      <c r="AD46" s="145"/>
      <c r="AE46" s="153">
        <f>SUM(C46:S46)</f>
        <v>23958938</v>
      </c>
      <c r="AF46" s="154"/>
      <c r="AG46" s="24">
        <v>1021917</v>
      </c>
      <c r="AH46" s="34"/>
      <c r="AI46" s="24">
        <v>11302340</v>
      </c>
      <c r="AJ46" s="34"/>
      <c r="AK46" s="24">
        <v>0</v>
      </c>
      <c r="AL46" s="34"/>
      <c r="AM46" s="34">
        <f>+'Gov Fd Rv'!Q46+'Gov Fd Rv'!S46-'Gov Fnd Exp'!AC46-AG46+AI46-'Gov Fd BS'!O46+AK46</f>
        <v>0</v>
      </c>
    </row>
    <row r="47" spans="1:39" ht="12.75" customHeight="1">
      <c r="A47" s="32" t="s">
        <v>43</v>
      </c>
      <c r="B47" s="32"/>
      <c r="C47" s="24">
        <v>4317101</v>
      </c>
      <c r="D47" s="145"/>
      <c r="E47" s="24">
        <v>1750129</v>
      </c>
      <c r="F47" s="145"/>
      <c r="G47" s="24">
        <v>3401043</v>
      </c>
      <c r="H47" s="145"/>
      <c r="I47" s="24">
        <v>5334858</v>
      </c>
      <c r="J47" s="145"/>
      <c r="K47" s="24">
        <v>238873</v>
      </c>
      <c r="L47" s="145"/>
      <c r="M47" s="24">
        <v>12003647</v>
      </c>
      <c r="N47" s="145"/>
      <c r="O47" s="24">
        <v>0</v>
      </c>
      <c r="P47" s="145"/>
      <c r="Q47" s="24">
        <v>207858</v>
      </c>
      <c r="R47" s="145"/>
      <c r="S47" s="24">
        <v>0</v>
      </c>
      <c r="T47" s="145"/>
      <c r="U47" s="24">
        <v>135009</v>
      </c>
      <c r="V47" s="145"/>
      <c r="W47" s="24">
        <v>0</v>
      </c>
      <c r="X47" s="145"/>
      <c r="Y47" s="24">
        <v>354949</v>
      </c>
      <c r="Z47" s="145"/>
      <c r="AA47" s="24">
        <v>185267</v>
      </c>
      <c r="AB47" s="145"/>
      <c r="AC47" s="145">
        <f aca="true" t="shared" si="4" ref="AC47:AC65">SUM(C47:AA47)</f>
        <v>27928734</v>
      </c>
      <c r="AD47" s="145"/>
      <c r="AE47" s="153">
        <f aca="true" t="shared" si="5" ref="AE47:AE65">SUM(C47:S47)</f>
        <v>27253509</v>
      </c>
      <c r="AF47" s="154"/>
      <c r="AG47" s="24">
        <v>561880</v>
      </c>
      <c r="AH47" s="34"/>
      <c r="AI47" s="24">
        <v>8689890</v>
      </c>
      <c r="AJ47" s="34"/>
      <c r="AK47" s="24">
        <v>0</v>
      </c>
      <c r="AL47" s="34"/>
      <c r="AM47" s="34">
        <f>+'Gov Fd Rv'!Q47+'Gov Fd Rv'!S47-'Gov Fnd Exp'!AC47-AG47+AI47-'Gov Fd BS'!O47+AK47</f>
        <v>0</v>
      </c>
    </row>
    <row r="48" spans="1:39" ht="12.75" customHeight="1" hidden="1">
      <c r="A48" s="32" t="s">
        <v>44</v>
      </c>
      <c r="B48" s="32"/>
      <c r="C48" s="24">
        <v>0</v>
      </c>
      <c r="D48" s="145"/>
      <c r="E48" s="24">
        <v>0</v>
      </c>
      <c r="F48" s="145"/>
      <c r="G48" s="24">
        <v>0</v>
      </c>
      <c r="H48" s="145"/>
      <c r="I48" s="24">
        <v>0</v>
      </c>
      <c r="J48" s="145"/>
      <c r="K48" s="24">
        <v>0</v>
      </c>
      <c r="L48" s="145"/>
      <c r="M48" s="24">
        <v>0</v>
      </c>
      <c r="N48" s="145"/>
      <c r="O48" s="24">
        <v>0</v>
      </c>
      <c r="P48" s="145"/>
      <c r="Q48" s="24">
        <v>0</v>
      </c>
      <c r="R48" s="145"/>
      <c r="S48" s="24">
        <v>0</v>
      </c>
      <c r="T48" s="145"/>
      <c r="U48" s="24">
        <v>0</v>
      </c>
      <c r="V48" s="145"/>
      <c r="W48" s="24">
        <v>0</v>
      </c>
      <c r="X48" s="145"/>
      <c r="Y48" s="24">
        <v>0</v>
      </c>
      <c r="Z48" s="145"/>
      <c r="AA48" s="24">
        <v>0</v>
      </c>
      <c r="AB48" s="145"/>
      <c r="AC48" s="145">
        <f t="shared" si="4"/>
        <v>0</v>
      </c>
      <c r="AD48" s="145"/>
      <c r="AE48" s="153">
        <f t="shared" si="5"/>
        <v>0</v>
      </c>
      <c r="AF48" s="154"/>
      <c r="AG48" s="24">
        <v>0</v>
      </c>
      <c r="AH48" s="34"/>
      <c r="AI48" s="24">
        <v>0</v>
      </c>
      <c r="AJ48" s="34"/>
      <c r="AK48" s="24">
        <v>0</v>
      </c>
      <c r="AL48" s="34"/>
      <c r="AM48" s="34">
        <f>+'Gov Fd Rv'!Q48+'Gov Fd Rv'!S48-'Gov Fnd Exp'!AC48-AG48+AI48-'Gov Fd BS'!O48+AK48</f>
        <v>0</v>
      </c>
    </row>
    <row r="49" spans="1:39" ht="12.75" customHeight="1" hidden="1">
      <c r="A49" s="32" t="s">
        <v>241</v>
      </c>
      <c r="B49" s="32"/>
      <c r="C49" s="24">
        <v>0</v>
      </c>
      <c r="D49" s="145"/>
      <c r="E49" s="24">
        <v>0</v>
      </c>
      <c r="F49" s="145"/>
      <c r="G49" s="24">
        <v>0</v>
      </c>
      <c r="H49" s="145"/>
      <c r="I49" s="24">
        <v>0</v>
      </c>
      <c r="J49" s="145"/>
      <c r="K49" s="24">
        <v>0</v>
      </c>
      <c r="L49" s="145"/>
      <c r="M49" s="24">
        <v>0</v>
      </c>
      <c r="N49" s="145"/>
      <c r="O49" s="24">
        <v>0</v>
      </c>
      <c r="P49" s="145"/>
      <c r="Q49" s="24">
        <v>0</v>
      </c>
      <c r="R49" s="145"/>
      <c r="S49" s="24">
        <v>0</v>
      </c>
      <c r="T49" s="145"/>
      <c r="U49" s="24">
        <v>0</v>
      </c>
      <c r="V49" s="145"/>
      <c r="W49" s="24">
        <v>0</v>
      </c>
      <c r="X49" s="145"/>
      <c r="Y49" s="24">
        <v>0</v>
      </c>
      <c r="Z49" s="145"/>
      <c r="AA49" s="24">
        <v>0</v>
      </c>
      <c r="AB49" s="145"/>
      <c r="AC49" s="145">
        <f t="shared" si="4"/>
        <v>0</v>
      </c>
      <c r="AD49" s="145"/>
      <c r="AE49" s="153">
        <f t="shared" si="5"/>
        <v>0</v>
      </c>
      <c r="AF49" s="154"/>
      <c r="AG49" s="24">
        <v>0</v>
      </c>
      <c r="AH49" s="34"/>
      <c r="AI49" s="24">
        <v>0</v>
      </c>
      <c r="AJ49" s="34"/>
      <c r="AK49" s="24">
        <v>0</v>
      </c>
      <c r="AL49" s="34"/>
      <c r="AM49" s="34">
        <f>+'[1]Gov Fd Rv'!Q49+'[1]Gov Fd Rv'!S49-'[1]Gov Fnd Exp'!AC49-AG49+AI49-'[1]Gov Fd BS'!O49+AK49</f>
        <v>0</v>
      </c>
    </row>
    <row r="50" spans="1:39" ht="12.75" customHeight="1">
      <c r="A50" s="32" t="s">
        <v>46</v>
      </c>
      <c r="B50" s="32"/>
      <c r="C50" s="24">
        <v>5644041</v>
      </c>
      <c r="D50" s="145"/>
      <c r="E50" s="24">
        <v>3451216</v>
      </c>
      <c r="F50" s="145"/>
      <c r="G50" s="24">
        <v>9120236</v>
      </c>
      <c r="H50" s="145"/>
      <c r="I50" s="24">
        <v>6564896</v>
      </c>
      <c r="J50" s="145"/>
      <c r="K50" s="24">
        <v>17671299</v>
      </c>
      <c r="L50" s="145"/>
      <c r="M50" s="24">
        <v>14104357</v>
      </c>
      <c r="N50" s="145"/>
      <c r="O50" s="24">
        <v>1408675</v>
      </c>
      <c r="P50" s="145"/>
      <c r="Q50" s="24">
        <v>0</v>
      </c>
      <c r="R50" s="145"/>
      <c r="S50" s="24">
        <v>375707</v>
      </c>
      <c r="T50" s="145"/>
      <c r="U50" s="24">
        <v>1180197</v>
      </c>
      <c r="V50" s="145"/>
      <c r="W50" s="24">
        <v>0</v>
      </c>
      <c r="X50" s="145"/>
      <c r="Y50" s="24">
        <v>1752079</v>
      </c>
      <c r="Z50" s="145"/>
      <c r="AA50" s="24">
        <f>1133125+85009+636108</f>
        <v>1854242</v>
      </c>
      <c r="AB50" s="145"/>
      <c r="AC50" s="145">
        <f t="shared" si="4"/>
        <v>63126945</v>
      </c>
      <c r="AD50" s="145"/>
      <c r="AE50" s="153">
        <f t="shared" si="5"/>
        <v>58340427</v>
      </c>
      <c r="AF50" s="154"/>
      <c r="AG50" s="24">
        <f>4053811+3321668</f>
        <v>7375479</v>
      </c>
      <c r="AH50" s="34"/>
      <c r="AI50" s="24">
        <v>24150515</v>
      </c>
      <c r="AJ50" s="34"/>
      <c r="AK50" s="24">
        <v>0</v>
      </c>
      <c r="AL50" s="34"/>
      <c r="AM50" s="34">
        <f>+'Gov Fd Rv'!Q50+'Gov Fd Rv'!S50-'Gov Fnd Exp'!AC50-AG50+AI50-'Gov Fd BS'!O50+AK50</f>
        <v>0</v>
      </c>
    </row>
    <row r="51" spans="1:39" ht="12.75" customHeight="1">
      <c r="A51" s="32" t="s">
        <v>47</v>
      </c>
      <c r="B51" s="42"/>
      <c r="C51" s="24">
        <v>5725837</v>
      </c>
      <c r="D51" s="145"/>
      <c r="E51" s="24">
        <v>2086329</v>
      </c>
      <c r="F51" s="145"/>
      <c r="G51" s="24">
        <v>6633390</v>
      </c>
      <c r="H51" s="145"/>
      <c r="I51" s="24">
        <v>4932333</v>
      </c>
      <c r="J51" s="145"/>
      <c r="K51" s="24">
        <v>417456</v>
      </c>
      <c r="L51" s="145"/>
      <c r="M51" s="24">
        <v>11579167</v>
      </c>
      <c r="N51" s="145"/>
      <c r="O51" s="24">
        <v>0</v>
      </c>
      <c r="P51" s="145"/>
      <c r="Q51" s="24">
        <v>0</v>
      </c>
      <c r="R51" s="145"/>
      <c r="S51" s="24">
        <v>0</v>
      </c>
      <c r="T51" s="145"/>
      <c r="U51" s="24">
        <v>3791073</v>
      </c>
      <c r="V51" s="145"/>
      <c r="W51" s="24">
        <v>2039618</v>
      </c>
      <c r="X51" s="145"/>
      <c r="Y51" s="24">
        <v>940226</v>
      </c>
      <c r="Z51" s="145"/>
      <c r="AA51" s="24">
        <v>450375</v>
      </c>
      <c r="AB51" s="145"/>
      <c r="AC51" s="145">
        <f t="shared" si="4"/>
        <v>38595804</v>
      </c>
      <c r="AD51" s="145"/>
      <c r="AE51" s="153">
        <f t="shared" si="5"/>
        <v>31374512</v>
      </c>
      <c r="AF51" s="154"/>
      <c r="AG51" s="24">
        <f>7413303+1081554</f>
        <v>8494857</v>
      </c>
      <c r="AH51" s="34"/>
      <c r="AI51" s="24">
        <v>18702155</v>
      </c>
      <c r="AJ51" s="34"/>
      <c r="AK51" s="24">
        <v>24618</v>
      </c>
      <c r="AL51" s="34"/>
      <c r="AM51" s="34">
        <f>+'Gov Fd Rv'!Q51+'Gov Fd Rv'!S51-'Gov Fnd Exp'!AC51-AG51+AI51-'Gov Fd BS'!O51+AK51</f>
        <v>0</v>
      </c>
    </row>
    <row r="52" spans="1:39" ht="12.75" customHeight="1">
      <c r="A52" s="32" t="s">
        <v>48</v>
      </c>
      <c r="B52" s="32"/>
      <c r="C52" s="24">
        <v>18071098</v>
      </c>
      <c r="D52" s="145"/>
      <c r="E52" s="24">
        <v>42981882</v>
      </c>
      <c r="F52" s="145"/>
      <c r="G52" s="24">
        <v>0</v>
      </c>
      <c r="H52" s="145"/>
      <c r="I52" s="24">
        <v>15083467</v>
      </c>
      <c r="J52" s="145"/>
      <c r="K52" s="24">
        <v>23975246</v>
      </c>
      <c r="L52" s="145"/>
      <c r="M52" s="24">
        <v>70189793</v>
      </c>
      <c r="N52" s="145"/>
      <c r="O52" s="24">
        <v>3835115</v>
      </c>
      <c r="P52" s="145"/>
      <c r="Q52" s="24">
        <v>0</v>
      </c>
      <c r="R52" s="145"/>
      <c r="S52" s="24">
        <v>0</v>
      </c>
      <c r="T52" s="145"/>
      <c r="U52" s="24">
        <v>4970733</v>
      </c>
      <c r="V52" s="145"/>
      <c r="W52" s="24">
        <v>0</v>
      </c>
      <c r="X52" s="145"/>
      <c r="Y52" s="24">
        <v>3216117</v>
      </c>
      <c r="Z52" s="145"/>
      <c r="AA52" s="24">
        <v>1436514</v>
      </c>
      <c r="AB52" s="145"/>
      <c r="AC52" s="145">
        <f t="shared" si="4"/>
        <v>183759965</v>
      </c>
      <c r="AD52" s="145"/>
      <c r="AE52" s="153">
        <f t="shared" si="5"/>
        <v>174136601</v>
      </c>
      <c r="AF52" s="154"/>
      <c r="AG52" s="24">
        <v>11198960</v>
      </c>
      <c r="AH52" s="34"/>
      <c r="AI52" s="24">
        <v>86686910</v>
      </c>
      <c r="AJ52" s="34"/>
      <c r="AK52" s="24">
        <v>66454</v>
      </c>
      <c r="AL52" s="34"/>
      <c r="AM52" s="34">
        <f>+'Gov Fd Rv'!Q52+'Gov Fd Rv'!S52-'Gov Fnd Exp'!AC52-AG52+AI52-'Gov Fd BS'!O52+AK52</f>
        <v>0</v>
      </c>
    </row>
    <row r="53" spans="1:39" ht="12.75" customHeight="1" hidden="1">
      <c r="A53" s="32" t="s">
        <v>170</v>
      </c>
      <c r="B53" s="32"/>
      <c r="C53" s="24">
        <v>0</v>
      </c>
      <c r="D53" s="145"/>
      <c r="E53" s="24">
        <v>0</v>
      </c>
      <c r="F53" s="145"/>
      <c r="G53" s="24">
        <v>0</v>
      </c>
      <c r="H53" s="145"/>
      <c r="I53" s="24">
        <v>0</v>
      </c>
      <c r="J53" s="145"/>
      <c r="K53" s="24">
        <v>0</v>
      </c>
      <c r="L53" s="145"/>
      <c r="M53" s="24">
        <v>0</v>
      </c>
      <c r="N53" s="145"/>
      <c r="O53" s="24">
        <v>0</v>
      </c>
      <c r="P53" s="145"/>
      <c r="Q53" s="24">
        <v>0</v>
      </c>
      <c r="R53" s="145"/>
      <c r="S53" s="24">
        <v>0</v>
      </c>
      <c r="T53" s="145"/>
      <c r="U53" s="24">
        <v>0</v>
      </c>
      <c r="V53" s="145"/>
      <c r="W53" s="24">
        <v>0</v>
      </c>
      <c r="X53" s="145"/>
      <c r="Y53" s="24">
        <v>0</v>
      </c>
      <c r="Z53" s="145"/>
      <c r="AA53" s="24">
        <v>0</v>
      </c>
      <c r="AB53" s="145"/>
      <c r="AC53" s="145">
        <f t="shared" si="4"/>
        <v>0</v>
      </c>
      <c r="AD53" s="145"/>
      <c r="AE53" s="153">
        <f t="shared" si="5"/>
        <v>0</v>
      </c>
      <c r="AF53" s="154"/>
      <c r="AG53" s="24">
        <v>0</v>
      </c>
      <c r="AH53" s="34"/>
      <c r="AI53" s="24">
        <v>0</v>
      </c>
      <c r="AJ53" s="34"/>
      <c r="AK53" s="24">
        <v>0</v>
      </c>
      <c r="AL53" s="34"/>
      <c r="AM53" s="34">
        <f>+'[1]Gov Fd Rv'!Q53+'[1]Gov Fd Rv'!S53-'[1]Gov Fnd Exp'!AC53-AG53+AI53-'[1]Gov Fd BS'!O53+AK53</f>
        <v>0</v>
      </c>
    </row>
    <row r="54" spans="1:39" ht="12.75" customHeight="1">
      <c r="A54" s="32" t="s">
        <v>49</v>
      </c>
      <c r="B54" s="32"/>
      <c r="C54" s="24">
        <v>23087798</v>
      </c>
      <c r="D54" s="145"/>
      <c r="E54" s="24">
        <v>0</v>
      </c>
      <c r="F54" s="145"/>
      <c r="G54" s="24">
        <v>22133310</v>
      </c>
      <c r="H54" s="145"/>
      <c r="I54" s="24">
        <v>6737531</v>
      </c>
      <c r="J54" s="145"/>
      <c r="K54" s="24">
        <v>4650384</v>
      </c>
      <c r="L54" s="145"/>
      <c r="M54" s="24">
        <v>38669220</v>
      </c>
      <c r="N54" s="145"/>
      <c r="O54" s="24">
        <v>981151</v>
      </c>
      <c r="P54" s="145"/>
      <c r="Q54" s="24">
        <v>628620</v>
      </c>
      <c r="R54" s="145"/>
      <c r="S54" s="24">
        <v>0</v>
      </c>
      <c r="T54" s="145"/>
      <c r="U54" s="24">
        <v>3391851</v>
      </c>
      <c r="V54" s="145"/>
      <c r="W54" s="24">
        <v>0</v>
      </c>
      <c r="X54" s="145"/>
      <c r="Y54" s="24">
        <v>805684</v>
      </c>
      <c r="Z54" s="145"/>
      <c r="AA54" s="24">
        <v>507536</v>
      </c>
      <c r="AB54" s="145"/>
      <c r="AC54" s="145">
        <f>SUM(C54:AA54)</f>
        <v>101593085</v>
      </c>
      <c r="AD54" s="145"/>
      <c r="AE54" s="153">
        <f>SUM(C54:S54)</f>
        <v>96888014</v>
      </c>
      <c r="AF54" s="154"/>
      <c r="AG54" s="24">
        <v>2290955</v>
      </c>
      <c r="AH54" s="34"/>
      <c r="AI54" s="24">
        <v>32821678</v>
      </c>
      <c r="AJ54" s="34"/>
      <c r="AK54" s="24">
        <v>20942</v>
      </c>
      <c r="AL54" s="34"/>
      <c r="AM54" s="34">
        <f>+'Gov Fd Rv'!Q54+'Gov Fd Rv'!S54-'Gov Fnd Exp'!AC54-AG54+AI54-'Gov Fd BS'!O54+AK54</f>
        <v>0</v>
      </c>
    </row>
    <row r="55" spans="1:39" ht="12.75" customHeight="1">
      <c r="A55" s="32" t="s">
        <v>50</v>
      </c>
      <c r="B55" s="32"/>
      <c r="C55" s="24">
        <v>3630472</v>
      </c>
      <c r="D55" s="145"/>
      <c r="E55" s="24">
        <v>4290242</v>
      </c>
      <c r="F55" s="145"/>
      <c r="G55" s="24">
        <v>5640362</v>
      </c>
      <c r="H55" s="145"/>
      <c r="I55" s="24">
        <v>6228226</v>
      </c>
      <c r="J55" s="145"/>
      <c r="K55" s="24">
        <v>1204609</v>
      </c>
      <c r="L55" s="145"/>
      <c r="M55" s="24">
        <v>14668963</v>
      </c>
      <c r="N55" s="145"/>
      <c r="O55" s="24">
        <f>273385+465376</f>
        <v>738761</v>
      </c>
      <c r="P55" s="145"/>
      <c r="Q55" s="24">
        <v>745452</v>
      </c>
      <c r="R55" s="145"/>
      <c r="S55" s="24">
        <v>0</v>
      </c>
      <c r="T55" s="145"/>
      <c r="U55" s="24">
        <v>0</v>
      </c>
      <c r="V55" s="145"/>
      <c r="W55" s="24">
        <v>0</v>
      </c>
      <c r="X55" s="145"/>
      <c r="Y55" s="24">
        <v>399500</v>
      </c>
      <c r="Z55" s="145"/>
      <c r="AA55" s="24">
        <v>309155</v>
      </c>
      <c r="AB55" s="145"/>
      <c r="AC55" s="145">
        <f t="shared" si="4"/>
        <v>37855742</v>
      </c>
      <c r="AD55" s="145"/>
      <c r="AE55" s="153">
        <f t="shared" si="5"/>
        <v>37147087</v>
      </c>
      <c r="AF55" s="154"/>
      <c r="AG55" s="24">
        <v>3767378</v>
      </c>
      <c r="AH55" s="34"/>
      <c r="AI55" s="24">
        <v>14410756</v>
      </c>
      <c r="AJ55" s="34"/>
      <c r="AK55" s="24">
        <v>52412</v>
      </c>
      <c r="AL55" s="34"/>
      <c r="AM55" s="34">
        <f>+'Gov Fd Rv'!Q55+'Gov Fd Rv'!S55-'Gov Fnd Exp'!AC55-AG55+AI55-'Gov Fd BS'!O55+AK55</f>
        <v>0</v>
      </c>
    </row>
    <row r="56" spans="1:39" ht="12.75" customHeight="1">
      <c r="A56" s="32" t="s">
        <v>246</v>
      </c>
      <c r="B56" s="32"/>
      <c r="C56" s="24">
        <v>25291962</v>
      </c>
      <c r="D56" s="145"/>
      <c r="E56" s="24">
        <v>17145948</v>
      </c>
      <c r="F56" s="145"/>
      <c r="G56" s="24">
        <v>27216231</v>
      </c>
      <c r="H56" s="145"/>
      <c r="I56" s="24">
        <v>8910676</v>
      </c>
      <c r="J56" s="145"/>
      <c r="K56" s="24">
        <v>45280237</v>
      </c>
      <c r="L56" s="145"/>
      <c r="M56" s="24">
        <v>78283520</v>
      </c>
      <c r="N56" s="145"/>
      <c r="O56" s="24">
        <v>1388309</v>
      </c>
      <c r="P56" s="145"/>
      <c r="Q56" s="24">
        <v>0</v>
      </c>
      <c r="R56" s="145"/>
      <c r="S56" s="24">
        <v>0</v>
      </c>
      <c r="T56" s="145"/>
      <c r="U56" s="24">
        <v>10493729</v>
      </c>
      <c r="V56" s="145"/>
      <c r="W56" s="24">
        <v>264872</v>
      </c>
      <c r="X56" s="145"/>
      <c r="Y56" s="24">
        <v>2261639</v>
      </c>
      <c r="Z56" s="145"/>
      <c r="AA56" s="24">
        <v>1782115</v>
      </c>
      <c r="AB56" s="145"/>
      <c r="AC56" s="145">
        <f t="shared" si="4"/>
        <v>218319238</v>
      </c>
      <c r="AD56" s="145"/>
      <c r="AE56" s="153">
        <f t="shared" si="5"/>
        <v>203516883</v>
      </c>
      <c r="AF56" s="154"/>
      <c r="AG56" s="24">
        <v>6557868</v>
      </c>
      <c r="AH56" s="34"/>
      <c r="AI56" s="24">
        <v>101610608</v>
      </c>
      <c r="AJ56" s="34"/>
      <c r="AK56" s="24">
        <v>-305897</v>
      </c>
      <c r="AL56" s="34"/>
      <c r="AM56" s="34">
        <f>+'Gov Fd Rv'!Q56+'Gov Fd Rv'!S56-'Gov Fnd Exp'!AC56-AG56+AI56-'Gov Fd BS'!O56+AK56</f>
        <v>0</v>
      </c>
    </row>
    <row r="57" spans="1:39" ht="12.75" customHeight="1">
      <c r="A57" s="32" t="s">
        <v>183</v>
      </c>
      <c r="B57" s="32"/>
      <c r="C57" s="24">
        <v>37479903</v>
      </c>
      <c r="D57" s="145"/>
      <c r="E57" s="24">
        <v>60479268</v>
      </c>
      <c r="F57" s="145"/>
      <c r="G57" s="24">
        <v>76058580</v>
      </c>
      <c r="H57" s="145"/>
      <c r="I57" s="24">
        <v>21996055</v>
      </c>
      <c r="J57" s="145"/>
      <c r="K57" s="24">
        <v>134702618</v>
      </c>
      <c r="L57" s="145"/>
      <c r="M57" s="24">
        <v>101559971</v>
      </c>
      <c r="N57" s="145"/>
      <c r="O57" s="24">
        <v>0</v>
      </c>
      <c r="P57" s="145"/>
      <c r="Q57" s="24">
        <v>16546555</v>
      </c>
      <c r="R57" s="145"/>
      <c r="S57" s="24">
        <v>567409</v>
      </c>
      <c r="T57" s="145"/>
      <c r="U57" s="24">
        <v>7489085</v>
      </c>
      <c r="V57" s="145"/>
      <c r="W57" s="24">
        <v>0</v>
      </c>
      <c r="X57" s="145"/>
      <c r="Y57" s="24">
        <v>5458480</v>
      </c>
      <c r="Z57" s="145"/>
      <c r="AA57" s="24">
        <f>4818184+635061+67431</f>
        <v>5520676</v>
      </c>
      <c r="AB57" s="145"/>
      <c r="AC57" s="145">
        <f t="shared" si="4"/>
        <v>467858600</v>
      </c>
      <c r="AD57" s="145"/>
      <c r="AE57" s="153">
        <f t="shared" si="5"/>
        <v>449390359</v>
      </c>
      <c r="AF57" s="154"/>
      <c r="AG57" s="24">
        <f>14210000+26909771</f>
        <v>41119771</v>
      </c>
      <c r="AH57" s="34"/>
      <c r="AI57" s="24">
        <v>54019388</v>
      </c>
      <c r="AJ57" s="34"/>
      <c r="AK57" s="24">
        <v>0</v>
      </c>
      <c r="AL57" s="34"/>
      <c r="AM57" s="34">
        <f>+'Gov Fd Rv'!Q57+'Gov Fd Rv'!S57-'Gov Fnd Exp'!AC57-AG57+AI57-'Gov Fd BS'!O57+AK57</f>
        <v>0</v>
      </c>
    </row>
    <row r="58" spans="1:39" ht="12.75" customHeight="1" hidden="1">
      <c r="A58" s="32" t="s">
        <v>52</v>
      </c>
      <c r="B58" s="32"/>
      <c r="C58" s="24">
        <v>0</v>
      </c>
      <c r="D58" s="145"/>
      <c r="E58" s="24">
        <v>0</v>
      </c>
      <c r="F58" s="145"/>
      <c r="G58" s="24">
        <v>0</v>
      </c>
      <c r="H58" s="145"/>
      <c r="I58" s="24">
        <v>0</v>
      </c>
      <c r="J58" s="145"/>
      <c r="K58" s="24">
        <v>0</v>
      </c>
      <c r="L58" s="145"/>
      <c r="M58" s="24">
        <v>0</v>
      </c>
      <c r="N58" s="145"/>
      <c r="O58" s="24">
        <v>0</v>
      </c>
      <c r="P58" s="145"/>
      <c r="Q58" s="24">
        <v>0</v>
      </c>
      <c r="R58" s="145"/>
      <c r="S58" s="24">
        <v>0</v>
      </c>
      <c r="T58" s="145"/>
      <c r="U58" s="24">
        <v>0</v>
      </c>
      <c r="V58" s="145"/>
      <c r="W58" s="24">
        <v>0</v>
      </c>
      <c r="X58" s="145"/>
      <c r="Y58" s="24">
        <v>0</v>
      </c>
      <c r="Z58" s="145"/>
      <c r="AA58" s="24">
        <v>0</v>
      </c>
      <c r="AB58" s="145"/>
      <c r="AC58" s="145">
        <f t="shared" si="4"/>
        <v>0</v>
      </c>
      <c r="AD58" s="145"/>
      <c r="AE58" s="153">
        <f t="shared" si="5"/>
        <v>0</v>
      </c>
      <c r="AF58" s="154"/>
      <c r="AG58" s="24">
        <v>0</v>
      </c>
      <c r="AH58" s="34"/>
      <c r="AI58" s="24">
        <v>0</v>
      </c>
      <c r="AJ58" s="34"/>
      <c r="AK58" s="24">
        <v>0</v>
      </c>
      <c r="AL58" s="34"/>
      <c r="AM58" s="34">
        <f>+'[1]Gov Fd Rv'!Q58+'[1]Gov Fd Rv'!S58-'[1]Gov Fnd Exp'!AC58-AG58+AI58-'[1]Gov Fd BS'!O58+AK58</f>
        <v>0</v>
      </c>
    </row>
    <row r="59" spans="1:39" ht="12.75" customHeight="1">
      <c r="A59" s="32" t="s">
        <v>53</v>
      </c>
      <c r="B59" s="32"/>
      <c r="C59" s="24">
        <v>25065900</v>
      </c>
      <c r="D59" s="145"/>
      <c r="E59" s="24">
        <v>19402665</v>
      </c>
      <c r="F59" s="145"/>
      <c r="G59" s="24">
        <v>21217388</v>
      </c>
      <c r="H59" s="145"/>
      <c r="I59" s="24">
        <v>9083394</v>
      </c>
      <c r="J59" s="145"/>
      <c r="K59" s="24">
        <v>51680046</v>
      </c>
      <c r="L59" s="145"/>
      <c r="M59" s="24">
        <v>44597570</v>
      </c>
      <c r="N59" s="145"/>
      <c r="O59" s="24">
        <v>7706310</v>
      </c>
      <c r="P59" s="145"/>
      <c r="Q59" s="24">
        <v>0</v>
      </c>
      <c r="R59" s="145"/>
      <c r="S59" s="24">
        <v>0</v>
      </c>
      <c r="T59" s="145"/>
      <c r="U59" s="24">
        <v>0</v>
      </c>
      <c r="V59" s="145"/>
      <c r="W59" s="24">
        <v>0</v>
      </c>
      <c r="X59" s="145"/>
      <c r="Y59" s="24">
        <v>2908765</v>
      </c>
      <c r="Z59" s="145"/>
      <c r="AA59" s="24">
        <f>1688353+445590</f>
        <v>2133943</v>
      </c>
      <c r="AB59" s="145"/>
      <c r="AC59" s="145">
        <f t="shared" si="4"/>
        <v>183795981</v>
      </c>
      <c r="AD59" s="145"/>
      <c r="AE59" s="153">
        <f t="shared" si="5"/>
        <v>178753273</v>
      </c>
      <c r="AF59" s="154"/>
      <c r="AG59" s="24">
        <f>9212290</f>
        <v>9212290</v>
      </c>
      <c r="AH59" s="34"/>
      <c r="AI59" s="24">
        <v>57771667</v>
      </c>
      <c r="AJ59" s="34"/>
      <c r="AK59" s="24">
        <v>0</v>
      </c>
      <c r="AL59" s="34"/>
      <c r="AM59" s="34">
        <f>+'Gov Fd Rv'!Q59+'Gov Fd Rv'!S59-'Gov Fnd Exp'!AC59-AG59+AI59-'Gov Fd BS'!O59+AK59</f>
        <v>0</v>
      </c>
    </row>
    <row r="60" spans="1:39" ht="12.75" customHeight="1">
      <c r="A60" s="32" t="s">
        <v>54</v>
      </c>
      <c r="B60" s="32"/>
      <c r="C60" s="24">
        <v>5659577</v>
      </c>
      <c r="D60" s="145"/>
      <c r="E60" s="24">
        <v>216492</v>
      </c>
      <c r="F60" s="145"/>
      <c r="G60" s="24">
        <v>2457062</v>
      </c>
      <c r="H60" s="145"/>
      <c r="I60" s="24">
        <v>9804227</v>
      </c>
      <c r="J60" s="145"/>
      <c r="K60" s="24">
        <v>3600</v>
      </c>
      <c r="L60" s="145"/>
      <c r="M60" s="24">
        <v>4250771</v>
      </c>
      <c r="N60" s="145"/>
      <c r="O60" s="24">
        <v>6727356</v>
      </c>
      <c r="P60" s="145"/>
      <c r="Q60" s="24">
        <v>1072668</v>
      </c>
      <c r="R60" s="145"/>
      <c r="S60" s="24">
        <f>156000+2000+137397+8497998</f>
        <v>8793395</v>
      </c>
      <c r="T60" s="145"/>
      <c r="U60" s="24">
        <v>10980961</v>
      </c>
      <c r="V60" s="145"/>
      <c r="W60" s="24">
        <v>0</v>
      </c>
      <c r="X60" s="145"/>
      <c r="Y60" s="24">
        <f>531477</f>
        <v>531477</v>
      </c>
      <c r="Z60" s="145"/>
      <c r="AA60" s="24">
        <f>110000+491142</f>
        <v>601142</v>
      </c>
      <c r="AB60" s="145"/>
      <c r="AC60" s="145">
        <f t="shared" si="4"/>
        <v>51098728</v>
      </c>
      <c r="AD60" s="145"/>
      <c r="AE60" s="153">
        <f t="shared" si="5"/>
        <v>38985148</v>
      </c>
      <c r="AF60" s="154"/>
      <c r="AG60" s="24">
        <f>2180000+1089498</f>
        <v>3269498</v>
      </c>
      <c r="AH60" s="34"/>
      <c r="AI60" s="24">
        <v>23788848</v>
      </c>
      <c r="AJ60" s="34"/>
      <c r="AK60" s="24">
        <v>0</v>
      </c>
      <c r="AL60" s="34"/>
      <c r="AM60" s="34">
        <f>+'Gov Fd Rv'!Q60+'Gov Fd Rv'!S60-'Gov Fnd Exp'!AC60-AG60+AI60-'Gov Fd BS'!O60+AK60</f>
        <v>0</v>
      </c>
    </row>
    <row r="61" spans="1:39" ht="12.75" customHeight="1">
      <c r="A61" s="32" t="s">
        <v>55</v>
      </c>
      <c r="B61" s="32"/>
      <c r="C61" s="24">
        <v>21834199</v>
      </c>
      <c r="D61" s="145"/>
      <c r="E61" s="24">
        <v>10402260</v>
      </c>
      <c r="F61" s="145"/>
      <c r="G61" s="24">
        <v>20055425</v>
      </c>
      <c r="H61" s="145"/>
      <c r="I61" s="24">
        <v>9010148</v>
      </c>
      <c r="J61" s="145"/>
      <c r="K61" s="24">
        <v>24214566</v>
      </c>
      <c r="L61" s="145"/>
      <c r="M61" s="24">
        <v>15936779</v>
      </c>
      <c r="N61" s="145"/>
      <c r="O61" s="24">
        <v>1432185</v>
      </c>
      <c r="P61" s="145"/>
      <c r="Q61" s="24">
        <v>0</v>
      </c>
      <c r="R61" s="145"/>
      <c r="S61" s="24">
        <v>0</v>
      </c>
      <c r="T61" s="145"/>
      <c r="U61" s="24">
        <v>1933073</v>
      </c>
      <c r="V61" s="145"/>
      <c r="W61" s="24">
        <v>347660</v>
      </c>
      <c r="X61" s="145"/>
      <c r="Y61" s="24">
        <v>959116</v>
      </c>
      <c r="Z61" s="145"/>
      <c r="AA61" s="24">
        <v>311949</v>
      </c>
      <c r="AB61" s="145"/>
      <c r="AC61" s="145">
        <f t="shared" si="4"/>
        <v>106437360</v>
      </c>
      <c r="AD61" s="145"/>
      <c r="AE61" s="153">
        <f t="shared" si="5"/>
        <v>102885562</v>
      </c>
      <c r="AF61" s="154"/>
      <c r="AG61" s="24">
        <v>2134524</v>
      </c>
      <c r="AH61" s="34"/>
      <c r="AI61" s="24">
        <v>41590289</v>
      </c>
      <c r="AJ61" s="34"/>
      <c r="AK61" s="24">
        <v>0</v>
      </c>
      <c r="AL61" s="34"/>
      <c r="AM61" s="34">
        <f>+'Gov Fd Rv'!Q61+'Gov Fd Rv'!S61-'Gov Fnd Exp'!AC61-AG61+AI61-'Gov Fd BS'!O61+AK61</f>
        <v>0</v>
      </c>
    </row>
    <row r="62" spans="1:39" ht="12.75" customHeight="1" hidden="1">
      <c r="A62" s="32" t="s">
        <v>171</v>
      </c>
      <c r="B62" s="32"/>
      <c r="C62" s="24">
        <v>0</v>
      </c>
      <c r="D62" s="145"/>
      <c r="E62" s="24">
        <v>0</v>
      </c>
      <c r="F62" s="145"/>
      <c r="G62" s="24">
        <v>0</v>
      </c>
      <c r="H62" s="145"/>
      <c r="I62" s="24">
        <v>0</v>
      </c>
      <c r="J62" s="145"/>
      <c r="K62" s="24">
        <v>0</v>
      </c>
      <c r="L62" s="145"/>
      <c r="M62" s="24">
        <v>0</v>
      </c>
      <c r="N62" s="145"/>
      <c r="O62" s="24">
        <v>0</v>
      </c>
      <c r="P62" s="145"/>
      <c r="Q62" s="24">
        <v>0</v>
      </c>
      <c r="R62" s="145"/>
      <c r="S62" s="24">
        <v>0</v>
      </c>
      <c r="T62" s="145"/>
      <c r="U62" s="24">
        <v>0</v>
      </c>
      <c r="V62" s="145"/>
      <c r="W62" s="24">
        <v>0</v>
      </c>
      <c r="X62" s="145"/>
      <c r="Y62" s="24">
        <v>0</v>
      </c>
      <c r="Z62" s="145"/>
      <c r="AA62" s="24">
        <v>0</v>
      </c>
      <c r="AB62" s="145"/>
      <c r="AC62" s="145">
        <f t="shared" si="4"/>
        <v>0</v>
      </c>
      <c r="AD62" s="145"/>
      <c r="AE62" s="153">
        <f t="shared" si="5"/>
        <v>0</v>
      </c>
      <c r="AF62" s="154"/>
      <c r="AG62" s="24">
        <v>0</v>
      </c>
      <c r="AH62" s="34"/>
      <c r="AI62" s="24">
        <v>0</v>
      </c>
      <c r="AJ62" s="34"/>
      <c r="AK62" s="24">
        <v>0</v>
      </c>
      <c r="AL62" s="34"/>
      <c r="AM62" s="34">
        <f>+'[1]Gov Fd Rv'!Q62+'[1]Gov Fd Rv'!S62-'[1]Gov Fnd Exp'!AC62-AG62+AI62-'[1]Gov Fd BS'!O62+AK62</f>
        <v>0</v>
      </c>
    </row>
    <row r="63" spans="1:39" ht="12.75" customHeight="1" hidden="1">
      <c r="A63" s="32" t="s">
        <v>56</v>
      </c>
      <c r="B63" s="32"/>
      <c r="C63" s="24">
        <v>0</v>
      </c>
      <c r="D63" s="145"/>
      <c r="E63" s="24">
        <v>0</v>
      </c>
      <c r="F63" s="145"/>
      <c r="G63" s="24">
        <v>0</v>
      </c>
      <c r="H63" s="145"/>
      <c r="I63" s="24">
        <v>0</v>
      </c>
      <c r="J63" s="145"/>
      <c r="K63" s="24">
        <v>0</v>
      </c>
      <c r="L63" s="145"/>
      <c r="M63" s="24">
        <v>0</v>
      </c>
      <c r="N63" s="145"/>
      <c r="O63" s="24">
        <v>0</v>
      </c>
      <c r="P63" s="145"/>
      <c r="Q63" s="24">
        <v>0</v>
      </c>
      <c r="R63" s="145"/>
      <c r="S63" s="24">
        <v>0</v>
      </c>
      <c r="T63" s="145"/>
      <c r="U63" s="24">
        <v>0</v>
      </c>
      <c r="V63" s="145"/>
      <c r="W63" s="24">
        <v>0</v>
      </c>
      <c r="X63" s="145"/>
      <c r="Y63" s="24">
        <v>0</v>
      </c>
      <c r="Z63" s="145"/>
      <c r="AA63" s="24">
        <v>0</v>
      </c>
      <c r="AB63" s="145"/>
      <c r="AC63" s="145">
        <f t="shared" si="4"/>
        <v>0</v>
      </c>
      <c r="AD63" s="145"/>
      <c r="AE63" s="153">
        <f t="shared" si="5"/>
        <v>0</v>
      </c>
      <c r="AF63" s="154"/>
      <c r="AG63" s="24">
        <v>0</v>
      </c>
      <c r="AH63" s="34"/>
      <c r="AI63" s="24">
        <v>0</v>
      </c>
      <c r="AJ63" s="34"/>
      <c r="AK63" s="24">
        <v>0</v>
      </c>
      <c r="AL63" s="34"/>
      <c r="AM63" s="34">
        <f>+'[1]Gov Fd Rv'!Q63+'[1]Gov Fd Rv'!S63-'[1]Gov Fnd Exp'!AC63-AG63+AI63-'[1]Gov Fd BS'!O63+AK63</f>
        <v>0</v>
      </c>
    </row>
    <row r="64" spans="1:39" ht="12.75" customHeight="1">
      <c r="A64" s="32" t="s">
        <v>57</v>
      </c>
      <c r="B64" s="32"/>
      <c r="C64" s="24">
        <v>13643226</v>
      </c>
      <c r="D64" s="145"/>
      <c r="E64" s="24">
        <v>0</v>
      </c>
      <c r="F64" s="145"/>
      <c r="G64" s="24">
        <v>17690873</v>
      </c>
      <c r="H64" s="145"/>
      <c r="I64" s="24">
        <v>11997282</v>
      </c>
      <c r="J64" s="145"/>
      <c r="K64" s="24">
        <v>13918324</v>
      </c>
      <c r="L64" s="145"/>
      <c r="M64" s="24">
        <v>12609589</v>
      </c>
      <c r="N64" s="145"/>
      <c r="O64" s="24">
        <v>0</v>
      </c>
      <c r="P64" s="145"/>
      <c r="Q64" s="24">
        <v>538551</v>
      </c>
      <c r="R64" s="145"/>
      <c r="S64" s="24">
        <v>0</v>
      </c>
      <c r="T64" s="145"/>
      <c r="U64" s="24">
        <v>3982949</v>
      </c>
      <c r="V64" s="145"/>
      <c r="W64" s="24">
        <v>0</v>
      </c>
      <c r="X64" s="145"/>
      <c r="Y64" s="24">
        <v>516886</v>
      </c>
      <c r="Z64" s="145"/>
      <c r="AA64" s="24">
        <v>375980</v>
      </c>
      <c r="AB64" s="145"/>
      <c r="AC64" s="145">
        <f t="shared" si="4"/>
        <v>75273660</v>
      </c>
      <c r="AD64" s="145"/>
      <c r="AE64" s="153">
        <f t="shared" si="5"/>
        <v>70397845</v>
      </c>
      <c r="AF64" s="154"/>
      <c r="AG64" s="24">
        <v>714551</v>
      </c>
      <c r="AH64" s="34"/>
      <c r="AI64" s="24">
        <v>38340693</v>
      </c>
      <c r="AJ64" s="34"/>
      <c r="AK64" s="24">
        <v>1914</v>
      </c>
      <c r="AL64" s="34"/>
      <c r="AM64" s="34">
        <f>+'Gov Fd Rv'!Q64+'Gov Fd Rv'!S64-'Gov Fnd Exp'!AC64-AG64+AI64-'Gov Fd BS'!O64+AK64</f>
        <v>0</v>
      </c>
    </row>
    <row r="65" spans="1:39" ht="12.75" customHeight="1">
      <c r="A65" s="32" t="s">
        <v>58</v>
      </c>
      <c r="B65" s="42"/>
      <c r="C65" s="24">
        <v>1695712</v>
      </c>
      <c r="D65" s="145"/>
      <c r="E65" s="24">
        <v>702161</v>
      </c>
      <c r="F65" s="145"/>
      <c r="G65" s="24">
        <v>1906010</v>
      </c>
      <c r="H65" s="145"/>
      <c r="I65" s="24">
        <v>3897886</v>
      </c>
      <c r="J65" s="145"/>
      <c r="K65" s="24">
        <v>2120117</v>
      </c>
      <c r="L65" s="145"/>
      <c r="M65" s="24">
        <v>3117334</v>
      </c>
      <c r="N65" s="145"/>
      <c r="O65" s="24">
        <v>852174</v>
      </c>
      <c r="P65" s="145"/>
      <c r="Q65" s="24">
        <v>0</v>
      </c>
      <c r="R65" s="145"/>
      <c r="S65" s="24">
        <v>0</v>
      </c>
      <c r="T65" s="145"/>
      <c r="U65" s="24">
        <v>1126623</v>
      </c>
      <c r="V65" s="145"/>
      <c r="W65" s="24">
        <v>0</v>
      </c>
      <c r="X65" s="145"/>
      <c r="Y65" s="24">
        <v>33690</v>
      </c>
      <c r="Z65" s="145"/>
      <c r="AA65" s="24">
        <v>21549</v>
      </c>
      <c r="AB65" s="145"/>
      <c r="AC65" s="145">
        <f t="shared" si="4"/>
        <v>15473256</v>
      </c>
      <c r="AD65" s="145"/>
      <c r="AE65" s="153">
        <f t="shared" si="5"/>
        <v>14291394</v>
      </c>
      <c r="AF65" s="154"/>
      <c r="AG65" s="24">
        <v>720152</v>
      </c>
      <c r="AH65" s="34"/>
      <c r="AI65" s="24">
        <v>5084074</v>
      </c>
      <c r="AJ65" s="34"/>
      <c r="AK65" s="24">
        <v>0</v>
      </c>
      <c r="AL65" s="34"/>
      <c r="AM65" s="34">
        <f>+'Gov Fd Rv'!Q65+'Gov Fd Rv'!S65-'Gov Fnd Exp'!AC65-AG65+AI65-'Gov Fd BS'!O65+AK65</f>
        <v>0</v>
      </c>
    </row>
    <row r="66" spans="1:39" ht="12.75" customHeight="1">
      <c r="A66" s="32" t="s">
        <v>59</v>
      </c>
      <c r="B66" s="32"/>
      <c r="C66" s="24">
        <v>31120275</v>
      </c>
      <c r="D66" s="30"/>
      <c r="E66" s="24">
        <v>152986341</v>
      </c>
      <c r="F66" s="30"/>
      <c r="G66" s="24">
        <v>0</v>
      </c>
      <c r="H66" s="30"/>
      <c r="I66" s="24">
        <v>16484840</v>
      </c>
      <c r="J66" s="30"/>
      <c r="K66" s="24">
        <v>0</v>
      </c>
      <c r="L66" s="30"/>
      <c r="M66" s="24">
        <v>246418142</v>
      </c>
      <c r="N66" s="30"/>
      <c r="O66" s="24">
        <v>12376036</v>
      </c>
      <c r="P66" s="30"/>
      <c r="Q66" s="24">
        <v>0</v>
      </c>
      <c r="R66" s="30"/>
      <c r="S66" s="24">
        <v>0</v>
      </c>
      <c r="T66" s="30"/>
      <c r="U66" s="24">
        <v>19759213</v>
      </c>
      <c r="V66" s="30"/>
      <c r="W66" s="24">
        <f>53300+1171256+223277+19579071+4168179</f>
        <v>25195083</v>
      </c>
      <c r="X66" s="30"/>
      <c r="Y66" s="24">
        <v>13783937</v>
      </c>
      <c r="Z66" s="30"/>
      <c r="AA66" s="24">
        <v>2229051</v>
      </c>
      <c r="AB66" s="30"/>
      <c r="AC66" s="30">
        <f t="shared" si="2"/>
        <v>520352918</v>
      </c>
      <c r="AD66" s="30"/>
      <c r="AE66" s="103">
        <f t="shared" si="3"/>
        <v>459385634</v>
      </c>
      <c r="AF66" s="33"/>
      <c r="AG66" s="24">
        <v>141682305</v>
      </c>
      <c r="AH66" s="34"/>
      <c r="AI66" s="24">
        <v>254609146</v>
      </c>
      <c r="AJ66" s="34"/>
      <c r="AK66" s="24">
        <v>0</v>
      </c>
      <c r="AL66" s="34"/>
      <c r="AM66" s="34">
        <f>+'Gov Fd Rv'!Q66+'Gov Fd Rv'!S66-'Gov Fnd Exp'!AC66-AG66+AI66-'Gov Fd BS'!O66+AK66</f>
        <v>0</v>
      </c>
    </row>
    <row r="67" spans="1:39" ht="12.75" customHeight="1" hidden="1">
      <c r="A67" s="32" t="s">
        <v>60</v>
      </c>
      <c r="B67" s="32"/>
      <c r="C67" s="24">
        <v>0</v>
      </c>
      <c r="D67" s="30"/>
      <c r="E67" s="24">
        <v>0</v>
      </c>
      <c r="F67" s="30"/>
      <c r="G67" s="24">
        <v>0</v>
      </c>
      <c r="H67" s="30"/>
      <c r="I67" s="24">
        <v>0</v>
      </c>
      <c r="J67" s="30"/>
      <c r="K67" s="24">
        <v>0</v>
      </c>
      <c r="L67" s="30"/>
      <c r="M67" s="24">
        <v>0</v>
      </c>
      <c r="N67" s="30"/>
      <c r="O67" s="24">
        <v>0</v>
      </c>
      <c r="P67" s="30"/>
      <c r="Q67" s="24">
        <v>0</v>
      </c>
      <c r="R67" s="30"/>
      <c r="S67" s="24">
        <v>0</v>
      </c>
      <c r="T67" s="30"/>
      <c r="U67" s="24">
        <v>0</v>
      </c>
      <c r="V67" s="30"/>
      <c r="W67" s="24">
        <v>0</v>
      </c>
      <c r="X67" s="30"/>
      <c r="Y67" s="24">
        <v>0</v>
      </c>
      <c r="Z67" s="30"/>
      <c r="AA67" s="24">
        <v>0</v>
      </c>
      <c r="AB67" s="30"/>
      <c r="AC67" s="30">
        <f t="shared" si="2"/>
        <v>0</v>
      </c>
      <c r="AD67" s="30"/>
      <c r="AE67" s="103">
        <f t="shared" si="3"/>
        <v>0</v>
      </c>
      <c r="AF67" s="33"/>
      <c r="AG67" s="24">
        <v>0</v>
      </c>
      <c r="AH67" s="34"/>
      <c r="AI67" s="24">
        <v>0</v>
      </c>
      <c r="AJ67" s="34"/>
      <c r="AK67" s="24">
        <v>0</v>
      </c>
      <c r="AL67" s="34"/>
      <c r="AM67" s="34">
        <f>+'Gov Fd Rv'!Q67+'Gov Fd Rv'!S67-'Gov Fnd Exp'!AC67-AG67+AI67-'Gov Fd BS'!O67+AK67</f>
        <v>0</v>
      </c>
    </row>
    <row r="68" spans="1:39" ht="12.75" customHeight="1">
      <c r="A68" s="32" t="s">
        <v>97</v>
      </c>
      <c r="B68" s="32"/>
      <c r="C68" s="24">
        <v>3747761</v>
      </c>
      <c r="D68" s="30"/>
      <c r="E68" s="24">
        <v>1343035</v>
      </c>
      <c r="F68" s="30"/>
      <c r="G68" s="24">
        <v>3278031</v>
      </c>
      <c r="H68" s="30"/>
      <c r="I68" s="24">
        <v>3870192</v>
      </c>
      <c r="J68" s="30"/>
      <c r="K68" s="24">
        <v>2774168</v>
      </c>
      <c r="L68" s="30"/>
      <c r="M68" s="24">
        <v>7565370</v>
      </c>
      <c r="N68" s="30"/>
      <c r="O68" s="24">
        <v>1293094</v>
      </c>
      <c r="P68" s="30"/>
      <c r="Q68" s="24">
        <v>1187913</v>
      </c>
      <c r="R68" s="30"/>
      <c r="S68" s="24">
        <v>0</v>
      </c>
      <c r="T68" s="30"/>
      <c r="U68" s="24">
        <v>1185468</v>
      </c>
      <c r="V68" s="30"/>
      <c r="W68" s="24">
        <v>477237</v>
      </c>
      <c r="X68" s="30"/>
      <c r="Y68" s="24">
        <v>426805</v>
      </c>
      <c r="Z68" s="30"/>
      <c r="AA68" s="24">
        <v>300901</v>
      </c>
      <c r="AB68" s="30"/>
      <c r="AC68" s="30">
        <f t="shared" si="2"/>
        <v>27449975</v>
      </c>
      <c r="AD68" s="30"/>
      <c r="AE68" s="103">
        <f t="shared" si="3"/>
        <v>25059564</v>
      </c>
      <c r="AF68" s="33"/>
      <c r="AG68" s="24">
        <v>0</v>
      </c>
      <c r="AH68" s="34"/>
      <c r="AI68" s="24">
        <v>10599446</v>
      </c>
      <c r="AJ68" s="34"/>
      <c r="AK68" s="24">
        <v>0</v>
      </c>
      <c r="AL68" s="34"/>
      <c r="AM68" s="34">
        <f>+'Gov Fd Rv'!Q68+'Gov Fd Rv'!S68-'Gov Fnd Exp'!AC68-AG68+AI68-'Gov Fd BS'!O68+AK68</f>
        <v>0</v>
      </c>
    </row>
    <row r="69" spans="1:39" ht="12.75" customHeight="1">
      <c r="A69" s="32" t="s">
        <v>61</v>
      </c>
      <c r="B69" s="32"/>
      <c r="C69" s="24">
        <f>9052971</f>
        <v>9052971</v>
      </c>
      <c r="D69" s="30"/>
      <c r="E69" s="24">
        <v>6305938</v>
      </c>
      <c r="F69" s="30"/>
      <c r="G69" s="24">
        <v>11855803</v>
      </c>
      <c r="H69" s="30"/>
      <c r="I69" s="24">
        <v>7996360</v>
      </c>
      <c r="J69" s="30"/>
      <c r="K69" s="24">
        <v>1342169</v>
      </c>
      <c r="L69" s="30"/>
      <c r="M69" s="24">
        <v>32280921</v>
      </c>
      <c r="N69" s="30"/>
      <c r="O69" s="24">
        <v>0</v>
      </c>
      <c r="P69" s="30"/>
      <c r="Q69" s="24">
        <v>0</v>
      </c>
      <c r="R69" s="30"/>
      <c r="S69" s="24">
        <v>0</v>
      </c>
      <c r="T69" s="30"/>
      <c r="U69" s="24">
        <v>1526384</v>
      </c>
      <c r="V69" s="30"/>
      <c r="W69" s="24">
        <v>1986285</v>
      </c>
      <c r="X69" s="30"/>
      <c r="Y69" s="24">
        <v>1572702</v>
      </c>
      <c r="Z69" s="30"/>
      <c r="AA69" s="24">
        <v>548665</v>
      </c>
      <c r="AB69" s="30"/>
      <c r="AC69" s="30">
        <f t="shared" si="2"/>
        <v>74468198</v>
      </c>
      <c r="AD69" s="30"/>
      <c r="AE69" s="103">
        <f t="shared" si="3"/>
        <v>68834162</v>
      </c>
      <c r="AF69" s="33"/>
      <c r="AG69" s="24">
        <f>467000+3440726</f>
        <v>3907726</v>
      </c>
      <c r="AH69" s="34"/>
      <c r="AI69" s="24">
        <f>36587467</f>
        <v>36587467</v>
      </c>
      <c r="AJ69" s="34"/>
      <c r="AK69" s="24">
        <v>0</v>
      </c>
      <c r="AL69" s="34"/>
      <c r="AM69" s="34">
        <f>+'Gov Fd Rv'!Q69+'Gov Fd Rv'!S69-'Gov Fnd Exp'!AC69-AG69+AI69-'Gov Fd BS'!O69+AK69</f>
        <v>0</v>
      </c>
    </row>
    <row r="70" spans="1:39" ht="12.75" customHeight="1">
      <c r="A70" s="32" t="s">
        <v>62</v>
      </c>
      <c r="B70" s="32"/>
      <c r="C70" s="24">
        <v>1701228</v>
      </c>
      <c r="D70" s="30"/>
      <c r="E70" s="24">
        <v>472183</v>
      </c>
      <c r="F70" s="30"/>
      <c r="G70" s="24">
        <v>1367534</v>
      </c>
      <c r="H70" s="30"/>
      <c r="I70" s="24">
        <v>3557881</v>
      </c>
      <c r="J70" s="30"/>
      <c r="K70" s="24">
        <v>759643</v>
      </c>
      <c r="L70" s="30"/>
      <c r="M70" s="24">
        <v>3367875</v>
      </c>
      <c r="N70" s="30"/>
      <c r="O70" s="24">
        <v>561946</v>
      </c>
      <c r="P70" s="30"/>
      <c r="Q70" s="24">
        <v>0</v>
      </c>
      <c r="R70" s="30"/>
      <c r="S70" s="24">
        <v>0</v>
      </c>
      <c r="T70" s="30"/>
      <c r="U70" s="24">
        <v>85808</v>
      </c>
      <c r="V70" s="30"/>
      <c r="W70" s="24">
        <v>195000</v>
      </c>
      <c r="X70" s="30"/>
      <c r="Y70" s="24">
        <v>122171</v>
      </c>
      <c r="Z70" s="30"/>
      <c r="AA70" s="24">
        <v>35578</v>
      </c>
      <c r="AB70" s="30"/>
      <c r="AC70" s="30">
        <f t="shared" si="2"/>
        <v>12226847</v>
      </c>
      <c r="AD70" s="30"/>
      <c r="AE70" s="103">
        <f t="shared" si="3"/>
        <v>11788290</v>
      </c>
      <c r="AF70" s="33"/>
      <c r="AG70" s="24">
        <v>115725</v>
      </c>
      <c r="AH70" s="34"/>
      <c r="AI70" s="24">
        <v>5353162</v>
      </c>
      <c r="AJ70" s="34"/>
      <c r="AK70" s="24">
        <v>0</v>
      </c>
      <c r="AL70" s="34"/>
      <c r="AM70" s="34">
        <f>+'Gov Fd Rv'!Q70+'Gov Fd Rv'!S70-'Gov Fnd Exp'!AC70-AG70+AI70-'Gov Fd BS'!O70+AK70</f>
        <v>0</v>
      </c>
    </row>
    <row r="71" spans="1:39" ht="12.75" customHeight="1" hidden="1">
      <c r="A71" s="32" t="s">
        <v>63</v>
      </c>
      <c r="B71" s="32"/>
      <c r="C71" s="24">
        <v>0</v>
      </c>
      <c r="D71" s="30"/>
      <c r="E71" s="24">
        <v>0</v>
      </c>
      <c r="F71" s="30"/>
      <c r="G71" s="24">
        <v>0</v>
      </c>
      <c r="H71" s="30"/>
      <c r="I71" s="24">
        <v>0</v>
      </c>
      <c r="J71" s="30"/>
      <c r="K71" s="24">
        <v>0</v>
      </c>
      <c r="L71" s="30"/>
      <c r="M71" s="24">
        <v>0</v>
      </c>
      <c r="N71" s="30"/>
      <c r="O71" s="24">
        <v>0</v>
      </c>
      <c r="P71" s="30"/>
      <c r="Q71" s="24">
        <v>0</v>
      </c>
      <c r="R71" s="30"/>
      <c r="S71" s="24">
        <v>0</v>
      </c>
      <c r="T71" s="30"/>
      <c r="U71" s="24">
        <v>0</v>
      </c>
      <c r="V71" s="30"/>
      <c r="W71" s="24">
        <v>0</v>
      </c>
      <c r="X71" s="30"/>
      <c r="Y71" s="24">
        <v>0</v>
      </c>
      <c r="Z71" s="30"/>
      <c r="AA71" s="24">
        <v>0</v>
      </c>
      <c r="AB71" s="30"/>
      <c r="AC71" s="30">
        <f t="shared" si="2"/>
        <v>0</v>
      </c>
      <c r="AD71" s="30"/>
      <c r="AE71" s="103">
        <f t="shared" si="3"/>
        <v>0</v>
      </c>
      <c r="AF71" s="33"/>
      <c r="AG71" s="24">
        <v>0</v>
      </c>
      <c r="AH71" s="34"/>
      <c r="AI71" s="24">
        <v>0</v>
      </c>
      <c r="AJ71" s="34"/>
      <c r="AK71" s="24">
        <v>0</v>
      </c>
      <c r="AL71" s="34"/>
      <c r="AM71" s="34">
        <f>+'Gov Fd Rv'!Q71+'Gov Fd Rv'!S71-'Gov Fnd Exp'!AC71-AG71+AI71-'Gov Fd BS'!O71+AK71</f>
        <v>0</v>
      </c>
    </row>
    <row r="72" spans="1:39" ht="12.75" customHeight="1" hidden="1">
      <c r="A72" s="32" t="s">
        <v>132</v>
      </c>
      <c r="B72" s="32"/>
      <c r="C72" s="24">
        <v>0</v>
      </c>
      <c r="D72" s="30"/>
      <c r="E72" s="24">
        <v>0</v>
      </c>
      <c r="F72" s="30"/>
      <c r="G72" s="24">
        <v>0</v>
      </c>
      <c r="H72" s="30"/>
      <c r="I72" s="24">
        <v>0</v>
      </c>
      <c r="J72" s="30"/>
      <c r="K72" s="24">
        <v>0</v>
      </c>
      <c r="L72" s="30"/>
      <c r="M72" s="24">
        <v>0</v>
      </c>
      <c r="N72" s="30"/>
      <c r="O72" s="24">
        <v>0</v>
      </c>
      <c r="P72" s="30"/>
      <c r="Q72" s="24">
        <v>0</v>
      </c>
      <c r="R72" s="30"/>
      <c r="S72" s="24">
        <v>0</v>
      </c>
      <c r="T72" s="30"/>
      <c r="U72" s="24">
        <v>0</v>
      </c>
      <c r="V72" s="30"/>
      <c r="W72" s="24">
        <v>0</v>
      </c>
      <c r="X72" s="30"/>
      <c r="Y72" s="24">
        <v>0</v>
      </c>
      <c r="Z72" s="30"/>
      <c r="AA72" s="24">
        <v>0</v>
      </c>
      <c r="AB72" s="30"/>
      <c r="AC72" s="30">
        <f t="shared" si="2"/>
        <v>0</v>
      </c>
      <c r="AD72" s="30"/>
      <c r="AE72" s="103">
        <f t="shared" si="3"/>
        <v>0</v>
      </c>
      <c r="AF72" s="33"/>
      <c r="AG72" s="24">
        <v>0</v>
      </c>
      <c r="AH72" s="34"/>
      <c r="AI72" s="24">
        <v>0</v>
      </c>
      <c r="AJ72" s="34"/>
      <c r="AK72" s="24">
        <v>0</v>
      </c>
      <c r="AL72" s="34"/>
      <c r="AM72" s="34">
        <f>+'Gov Fd Rv'!Q72+'Gov Fd Rv'!S72-'Gov Fnd Exp'!AC72-AG72+AI72-'Gov Fd BS'!O72+AK72</f>
        <v>0</v>
      </c>
    </row>
    <row r="73" spans="1:39" ht="12.75" customHeight="1" hidden="1">
      <c r="A73" s="32" t="s">
        <v>64</v>
      </c>
      <c r="B73" s="32"/>
      <c r="C73" s="24">
        <v>0</v>
      </c>
      <c r="D73" s="30"/>
      <c r="E73" s="24">
        <v>0</v>
      </c>
      <c r="F73" s="30"/>
      <c r="G73" s="24">
        <v>0</v>
      </c>
      <c r="H73" s="30"/>
      <c r="I73" s="24">
        <v>0</v>
      </c>
      <c r="J73" s="30"/>
      <c r="K73" s="24">
        <v>0</v>
      </c>
      <c r="L73" s="30"/>
      <c r="M73" s="24">
        <v>0</v>
      </c>
      <c r="N73" s="30"/>
      <c r="O73" s="24">
        <v>0</v>
      </c>
      <c r="P73" s="30"/>
      <c r="Q73" s="24">
        <v>0</v>
      </c>
      <c r="R73" s="30"/>
      <c r="S73" s="24">
        <v>0</v>
      </c>
      <c r="T73" s="30"/>
      <c r="U73" s="24">
        <v>0</v>
      </c>
      <c r="V73" s="30"/>
      <c r="W73" s="24">
        <v>0</v>
      </c>
      <c r="X73" s="30"/>
      <c r="Y73" s="24">
        <v>0</v>
      </c>
      <c r="Z73" s="30"/>
      <c r="AA73" s="24">
        <v>0</v>
      </c>
      <c r="AB73" s="30"/>
      <c r="AC73" s="30">
        <f t="shared" si="2"/>
        <v>0</v>
      </c>
      <c r="AD73" s="30"/>
      <c r="AE73" s="103">
        <f t="shared" si="3"/>
        <v>0</v>
      </c>
      <c r="AF73" s="33"/>
      <c r="AG73" s="24">
        <v>0</v>
      </c>
      <c r="AH73" s="34"/>
      <c r="AI73" s="24">
        <v>0</v>
      </c>
      <c r="AJ73" s="34"/>
      <c r="AK73" s="24">
        <v>0</v>
      </c>
      <c r="AL73" s="34"/>
      <c r="AM73" s="34">
        <f>+'Gov Fd Rv'!Q73+'Gov Fd Rv'!S73-'Gov Fnd Exp'!AC73-AG73+AI73-'Gov Fd BS'!O73+AK73</f>
        <v>0</v>
      </c>
    </row>
    <row r="74" spans="1:39" ht="12.75" customHeight="1">
      <c r="A74" s="32" t="s">
        <v>65</v>
      </c>
      <c r="B74" s="32"/>
      <c r="C74" s="24">
        <v>5246630</v>
      </c>
      <c r="D74" s="30"/>
      <c r="E74" s="24">
        <v>2220178</v>
      </c>
      <c r="F74" s="30"/>
      <c r="G74" s="24">
        <v>6789075</v>
      </c>
      <c r="H74" s="30"/>
      <c r="I74" s="24">
        <v>7994490</v>
      </c>
      <c r="J74" s="30"/>
      <c r="K74" s="24">
        <v>4013523</v>
      </c>
      <c r="L74" s="30"/>
      <c r="M74" s="24">
        <v>7990824</v>
      </c>
      <c r="N74" s="30"/>
      <c r="O74" s="24">
        <v>577266</v>
      </c>
      <c r="P74" s="30"/>
      <c r="Q74" s="24">
        <v>390780</v>
      </c>
      <c r="R74" s="30"/>
      <c r="S74" s="24">
        <v>124283</v>
      </c>
      <c r="T74" s="30"/>
      <c r="U74" s="24">
        <v>451556</v>
      </c>
      <c r="V74" s="30"/>
      <c r="W74" s="24">
        <v>0</v>
      </c>
      <c r="X74" s="30"/>
      <c r="Y74" s="24">
        <v>350801</v>
      </c>
      <c r="Z74" s="30"/>
      <c r="AA74" s="24">
        <f>34195+124862</f>
        <v>159057</v>
      </c>
      <c r="AB74" s="30"/>
      <c r="AC74" s="30">
        <f t="shared" si="2"/>
        <v>36308463</v>
      </c>
      <c r="AD74" s="30"/>
      <c r="AE74" s="103">
        <f t="shared" si="3"/>
        <v>35347049</v>
      </c>
      <c r="AF74" s="33"/>
      <c r="AG74" s="24">
        <v>398675</v>
      </c>
      <c r="AH74" s="34"/>
      <c r="AI74" s="24">
        <v>18044548</v>
      </c>
      <c r="AJ74" s="34"/>
      <c r="AK74" s="24">
        <v>0</v>
      </c>
      <c r="AL74" s="34"/>
      <c r="AM74" s="34">
        <f>+'Gov Fd Rv'!Q74+'Gov Fd Rv'!S74-'Gov Fnd Exp'!AC74-AG74+AI74-'Gov Fd BS'!O74+AK74</f>
        <v>0</v>
      </c>
    </row>
    <row r="75" spans="1:39" ht="12.75" customHeight="1">
      <c r="A75" s="32" t="s">
        <v>66</v>
      </c>
      <c r="B75" s="32"/>
      <c r="C75" s="24">
        <v>3706318</v>
      </c>
      <c r="D75" s="30"/>
      <c r="E75" s="24">
        <v>1249672</v>
      </c>
      <c r="F75" s="30"/>
      <c r="G75" s="24">
        <v>2767171</v>
      </c>
      <c r="H75" s="30"/>
      <c r="I75" s="24">
        <v>4122664</v>
      </c>
      <c r="J75" s="30"/>
      <c r="K75" s="24">
        <v>3621343</v>
      </c>
      <c r="L75" s="30"/>
      <c r="M75" s="24">
        <v>5388428</v>
      </c>
      <c r="N75" s="30"/>
      <c r="O75" s="24">
        <v>251361</v>
      </c>
      <c r="P75" s="30"/>
      <c r="Q75" s="24">
        <v>414815</v>
      </c>
      <c r="R75" s="30"/>
      <c r="S75" s="24">
        <v>0</v>
      </c>
      <c r="T75" s="30"/>
      <c r="U75" s="24">
        <v>3264441</v>
      </c>
      <c r="V75" s="30"/>
      <c r="W75" s="24">
        <v>0</v>
      </c>
      <c r="X75" s="30"/>
      <c r="Y75" s="24">
        <v>532478</v>
      </c>
      <c r="Z75" s="30"/>
      <c r="AA75" s="24">
        <v>241615</v>
      </c>
      <c r="AB75" s="30"/>
      <c r="AC75" s="30">
        <f t="shared" si="2"/>
        <v>25560306</v>
      </c>
      <c r="AD75" s="30"/>
      <c r="AE75" s="103">
        <f t="shared" si="3"/>
        <v>21521772</v>
      </c>
      <c r="AF75" s="33"/>
      <c r="AG75" s="24">
        <v>670994</v>
      </c>
      <c r="AH75" s="34"/>
      <c r="AI75" s="24">
        <v>16334575</v>
      </c>
      <c r="AJ75" s="34"/>
      <c r="AK75" s="24">
        <v>0</v>
      </c>
      <c r="AL75" s="34"/>
      <c r="AM75" s="34">
        <f>+'Gov Fd Rv'!Q75+'Gov Fd Rv'!S75-'Gov Fnd Exp'!AC75-AG75+AI75-'Gov Fd BS'!O75+AK75</f>
        <v>0</v>
      </c>
    </row>
    <row r="76" spans="1:39" ht="12.75" customHeight="1">
      <c r="A76" s="32" t="s">
        <v>67</v>
      </c>
      <c r="B76" s="32"/>
      <c r="C76" s="24">
        <v>18947055</v>
      </c>
      <c r="D76" s="30"/>
      <c r="E76" s="24">
        <v>9781026</v>
      </c>
      <c r="F76" s="30"/>
      <c r="G76" s="24">
        <v>15672135</v>
      </c>
      <c r="H76" s="30"/>
      <c r="I76" s="24">
        <v>9175105</v>
      </c>
      <c r="J76" s="30"/>
      <c r="K76" s="24">
        <v>35017741</v>
      </c>
      <c r="L76" s="30"/>
      <c r="M76" s="24">
        <v>22116484</v>
      </c>
      <c r="N76" s="30"/>
      <c r="O76" s="24">
        <v>0</v>
      </c>
      <c r="P76" s="30"/>
      <c r="Q76" s="24">
        <v>0</v>
      </c>
      <c r="R76" s="30"/>
      <c r="S76" s="24">
        <v>0</v>
      </c>
      <c r="T76" s="30"/>
      <c r="U76" s="24">
        <v>5008028</v>
      </c>
      <c r="V76" s="30"/>
      <c r="W76" s="24">
        <v>0</v>
      </c>
      <c r="X76" s="30"/>
      <c r="Y76" s="24">
        <v>5225957</v>
      </c>
      <c r="Z76" s="30"/>
      <c r="AA76" s="24">
        <f>729377+67805</f>
        <v>797182</v>
      </c>
      <c r="AB76" s="30"/>
      <c r="AC76" s="30">
        <f t="shared" si="2"/>
        <v>121740713</v>
      </c>
      <c r="AD76" s="30"/>
      <c r="AE76" s="103">
        <f t="shared" si="3"/>
        <v>110709546</v>
      </c>
      <c r="AF76" s="33"/>
      <c r="AG76" s="24">
        <f>6354699+379380</f>
        <v>6734079</v>
      </c>
      <c r="AH76" s="34"/>
      <c r="AI76" s="24">
        <v>71634914</v>
      </c>
      <c r="AJ76" s="34"/>
      <c r="AK76" s="24">
        <v>0</v>
      </c>
      <c r="AL76" s="34"/>
      <c r="AM76" s="34">
        <f>+'Gov Fd Rv'!Q76+'Gov Fd Rv'!S76-'Gov Fnd Exp'!AC76-AG76+AI76-'Gov Fd BS'!O76+AK76</f>
        <v>0</v>
      </c>
    </row>
    <row r="77" spans="1:39" ht="12.75" customHeight="1">
      <c r="A77" s="32" t="s">
        <v>68</v>
      </c>
      <c r="B77" s="32"/>
      <c r="C77" s="24">
        <v>3663890</v>
      </c>
      <c r="D77" s="30"/>
      <c r="E77" s="24">
        <v>1836498</v>
      </c>
      <c r="F77" s="30"/>
      <c r="G77" s="24">
        <v>4103110</v>
      </c>
      <c r="H77" s="30"/>
      <c r="I77" s="24">
        <v>4772986</v>
      </c>
      <c r="J77" s="30"/>
      <c r="K77" s="24">
        <v>2586816</v>
      </c>
      <c r="L77" s="30"/>
      <c r="M77" s="24">
        <v>8038785</v>
      </c>
      <c r="N77" s="30"/>
      <c r="O77" s="24">
        <v>866964</v>
      </c>
      <c r="P77" s="30"/>
      <c r="Q77" s="24">
        <v>349195</v>
      </c>
      <c r="R77" s="30"/>
      <c r="S77" s="24">
        <v>0</v>
      </c>
      <c r="T77" s="30"/>
      <c r="U77" s="24">
        <v>48141</v>
      </c>
      <c r="V77" s="30"/>
      <c r="W77" s="24">
        <v>0</v>
      </c>
      <c r="X77" s="30"/>
      <c r="Y77" s="24">
        <v>170000</v>
      </c>
      <c r="Z77" s="30"/>
      <c r="AA77" s="24">
        <f>237901+80550</f>
        <v>318451</v>
      </c>
      <c r="AB77" s="30"/>
      <c r="AC77" s="30">
        <f t="shared" si="2"/>
        <v>26754836</v>
      </c>
      <c r="AD77" s="30"/>
      <c r="AE77" s="103">
        <f t="shared" si="3"/>
        <v>26218244</v>
      </c>
      <c r="AF77" s="33"/>
      <c r="AG77" s="24">
        <f>1113007+170147</f>
        <v>1283154</v>
      </c>
      <c r="AH77" s="34"/>
      <c r="AI77" s="24">
        <v>10721404</v>
      </c>
      <c r="AJ77" s="34"/>
      <c r="AK77" s="24">
        <v>0</v>
      </c>
      <c r="AL77" s="34"/>
      <c r="AM77" s="34">
        <f>+'Gov Fd Rv'!Q77+'Gov Fd Rv'!S77-'Gov Fnd Exp'!AC77-AG77+AI77-'Gov Fd BS'!O77+AK77</f>
        <v>0</v>
      </c>
    </row>
    <row r="78" spans="3:37" ht="12.75" customHeight="1">
      <c r="C78" s="24"/>
      <c r="E78" s="24"/>
      <c r="G78" s="24"/>
      <c r="I78" s="24"/>
      <c r="K78" s="24"/>
      <c r="M78" s="24"/>
      <c r="O78" s="24"/>
      <c r="Q78" s="24"/>
      <c r="S78" s="24"/>
      <c r="U78" s="24"/>
      <c r="W78" s="24"/>
      <c r="Y78" s="24"/>
      <c r="AA78" s="24"/>
      <c r="AG78" s="24"/>
      <c r="AI78" s="24"/>
      <c r="AK78" s="24"/>
    </row>
    <row r="79" spans="1:39" s="97" customFormat="1" ht="12.75" customHeight="1">
      <c r="A79" s="32"/>
      <c r="B79" s="32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30"/>
      <c r="O79" s="24"/>
      <c r="P79" s="30"/>
      <c r="Q79" s="24"/>
      <c r="R79" s="30"/>
      <c r="S79" s="24"/>
      <c r="T79" s="30"/>
      <c r="U79" s="24"/>
      <c r="V79" s="30"/>
      <c r="W79" s="24"/>
      <c r="X79" s="30"/>
      <c r="Y79" s="24"/>
      <c r="Z79" s="30"/>
      <c r="AA79" s="24"/>
      <c r="AB79" s="30"/>
      <c r="AC79" s="30" t="s">
        <v>249</v>
      </c>
      <c r="AD79" s="30"/>
      <c r="AE79" s="103"/>
      <c r="AF79" s="33"/>
      <c r="AG79" s="24"/>
      <c r="AH79" s="34"/>
      <c r="AI79" s="24"/>
      <c r="AJ79" s="34"/>
      <c r="AK79" s="24"/>
      <c r="AL79" s="34"/>
      <c r="AM79" s="34"/>
    </row>
    <row r="80" spans="1:41" ht="12.75" customHeight="1">
      <c r="A80" s="32" t="s">
        <v>178</v>
      </c>
      <c r="B80" s="32"/>
      <c r="C80" s="44">
        <v>9504093</v>
      </c>
      <c r="D80" s="47"/>
      <c r="E80" s="44">
        <v>9612404</v>
      </c>
      <c r="F80" s="47"/>
      <c r="G80" s="44">
        <v>12700723</v>
      </c>
      <c r="H80" s="47"/>
      <c r="I80" s="44">
        <v>5070632</v>
      </c>
      <c r="J80" s="47"/>
      <c r="K80" s="44">
        <v>33763565</v>
      </c>
      <c r="L80" s="47"/>
      <c r="M80" s="44">
        <v>24465710</v>
      </c>
      <c r="N80" s="47"/>
      <c r="O80" s="44">
        <v>124906</v>
      </c>
      <c r="P80" s="47"/>
      <c r="Q80" s="44">
        <v>453456</v>
      </c>
      <c r="R80" s="47"/>
      <c r="S80" s="44">
        <f>401</f>
        <v>401</v>
      </c>
      <c r="T80" s="47"/>
      <c r="U80" s="44">
        <v>2580531</v>
      </c>
      <c r="V80" s="47"/>
      <c r="W80" s="44">
        <v>1657121</v>
      </c>
      <c r="X80" s="47"/>
      <c r="Y80" s="44">
        <v>2887751</v>
      </c>
      <c r="Z80" s="47"/>
      <c r="AA80" s="44">
        <v>2008799</v>
      </c>
      <c r="AB80" s="47"/>
      <c r="AC80" s="47">
        <f t="shared" si="2"/>
        <v>104830092</v>
      </c>
      <c r="AD80" s="47"/>
      <c r="AE80" s="128">
        <f t="shared" si="3"/>
        <v>95695890</v>
      </c>
      <c r="AF80" s="44"/>
      <c r="AG80" s="24">
        <f>12000000+3166707</f>
        <v>15166707</v>
      </c>
      <c r="AH80" s="129"/>
      <c r="AI80" s="24">
        <v>43211011</v>
      </c>
      <c r="AJ80" s="129"/>
      <c r="AK80" s="24">
        <v>0</v>
      </c>
      <c r="AL80" s="129"/>
      <c r="AM80" s="129">
        <f>+'Gov Fd Rv'!Q81+'Gov Fd Rv'!S81-'Gov Fnd Exp'!AC80-AG80+AI80-'Gov Fd BS'!O81+AK80</f>
        <v>0</v>
      </c>
      <c r="AN80" s="144"/>
      <c r="AO80" s="144"/>
    </row>
    <row r="81" spans="1:39" ht="12.75" customHeight="1">
      <c r="A81" s="32" t="s">
        <v>69</v>
      </c>
      <c r="B81" s="32"/>
      <c r="C81" s="24">
        <v>6501433</v>
      </c>
      <c r="D81" s="30"/>
      <c r="E81" s="24">
        <v>4002009</v>
      </c>
      <c r="F81" s="30"/>
      <c r="G81" s="24">
        <v>9925837</v>
      </c>
      <c r="H81" s="30"/>
      <c r="I81" s="24">
        <v>5954977</v>
      </c>
      <c r="J81" s="30"/>
      <c r="K81" s="24">
        <v>688518</v>
      </c>
      <c r="L81" s="30"/>
      <c r="M81" s="24">
        <v>22841239</v>
      </c>
      <c r="N81" s="30"/>
      <c r="O81" s="24">
        <v>1798542</v>
      </c>
      <c r="P81" s="30"/>
      <c r="Q81" s="24">
        <v>0</v>
      </c>
      <c r="R81" s="30"/>
      <c r="S81" s="24">
        <v>0</v>
      </c>
      <c r="T81" s="30"/>
      <c r="U81" s="24">
        <v>1113929</v>
      </c>
      <c r="V81" s="30"/>
      <c r="W81" s="24">
        <v>15975</v>
      </c>
      <c r="X81" s="30"/>
      <c r="Y81" s="24">
        <v>744604</v>
      </c>
      <c r="Z81" s="30"/>
      <c r="AA81" s="24">
        <v>519165</v>
      </c>
      <c r="AB81" s="30"/>
      <c r="AC81" s="30">
        <f t="shared" si="2"/>
        <v>54106228</v>
      </c>
      <c r="AD81" s="30"/>
      <c r="AE81" s="103">
        <f t="shared" si="3"/>
        <v>51712555</v>
      </c>
      <c r="AF81" s="33"/>
      <c r="AG81" s="24">
        <v>7757103</v>
      </c>
      <c r="AH81" s="34"/>
      <c r="AI81" s="24">
        <v>10183538</v>
      </c>
      <c r="AJ81" s="34"/>
      <c r="AK81" s="24">
        <v>0</v>
      </c>
      <c r="AL81" s="34"/>
      <c r="AM81" s="34">
        <f>+'Gov Fd Rv'!Q82+'Gov Fd Rv'!S82-'Gov Fnd Exp'!AC81-AG81+AI81-'Gov Fd BS'!O82+AK81</f>
        <v>0</v>
      </c>
    </row>
    <row r="82" spans="1:39" ht="12.75" customHeight="1">
      <c r="A82" s="32" t="s">
        <v>98</v>
      </c>
      <c r="B82" s="32"/>
      <c r="C82" s="24">
        <v>5344714</v>
      </c>
      <c r="D82" s="30"/>
      <c r="E82" s="24">
        <v>3669776</v>
      </c>
      <c r="F82" s="30"/>
      <c r="G82" s="24">
        <v>9280027</v>
      </c>
      <c r="H82" s="30"/>
      <c r="I82" s="24">
        <v>4424276</v>
      </c>
      <c r="J82" s="30"/>
      <c r="K82" s="24">
        <v>374493</v>
      </c>
      <c r="L82" s="30"/>
      <c r="M82" s="24">
        <v>21149935</v>
      </c>
      <c r="N82" s="30"/>
      <c r="O82" s="24">
        <v>436691</v>
      </c>
      <c r="P82" s="30"/>
      <c r="Q82" s="24">
        <v>0</v>
      </c>
      <c r="R82" s="30"/>
      <c r="S82" s="24">
        <v>0</v>
      </c>
      <c r="T82" s="30"/>
      <c r="U82" s="24">
        <v>1813148</v>
      </c>
      <c r="V82" s="30"/>
      <c r="W82" s="24">
        <v>163000</v>
      </c>
      <c r="X82" s="30"/>
      <c r="Y82" s="24">
        <v>386482</v>
      </c>
      <c r="Z82" s="30"/>
      <c r="AA82" s="24">
        <v>197879</v>
      </c>
      <c r="AB82" s="30"/>
      <c r="AC82" s="30">
        <f t="shared" si="2"/>
        <v>47240421</v>
      </c>
      <c r="AD82" s="30"/>
      <c r="AE82" s="103">
        <f t="shared" si="3"/>
        <v>44679912</v>
      </c>
      <c r="AF82" s="33"/>
      <c r="AG82" s="24">
        <v>975040</v>
      </c>
      <c r="AH82" s="34"/>
      <c r="AI82" s="24">
        <v>23862570</v>
      </c>
      <c r="AJ82" s="34"/>
      <c r="AK82" s="24">
        <v>0</v>
      </c>
      <c r="AL82" s="34"/>
      <c r="AM82" s="34">
        <f>+'Gov Fd Rv'!Q83+'Gov Fd Rv'!S83-'Gov Fnd Exp'!AC82-AG82+AI82-'Gov Fd BS'!O83+AK82</f>
        <v>-80</v>
      </c>
    </row>
    <row r="83" spans="1:39" ht="12.75" customHeight="1">
      <c r="A83" s="32" t="s">
        <v>70</v>
      </c>
      <c r="B83" s="32"/>
      <c r="C83" s="24">
        <v>7080745</v>
      </c>
      <c r="D83" s="30"/>
      <c r="E83" s="24">
        <v>2153539</v>
      </c>
      <c r="F83" s="30"/>
      <c r="G83" s="24">
        <f>4553952+1777999</f>
        <v>6331951</v>
      </c>
      <c r="H83" s="30"/>
      <c r="I83" s="24">
        <v>4483356</v>
      </c>
      <c r="J83" s="30"/>
      <c r="K83" s="24">
        <v>9188423</v>
      </c>
      <c r="L83" s="30"/>
      <c r="M83" s="24">
        <v>12332012</v>
      </c>
      <c r="N83" s="30"/>
      <c r="O83" s="24">
        <v>717278</v>
      </c>
      <c r="P83" s="30"/>
      <c r="Q83" s="24">
        <v>415979</v>
      </c>
      <c r="R83" s="30"/>
      <c r="S83" s="24">
        <v>0</v>
      </c>
      <c r="T83" s="30"/>
      <c r="U83" s="24">
        <v>4311883</v>
      </c>
      <c r="V83" s="30"/>
      <c r="W83" s="24">
        <v>781773</v>
      </c>
      <c r="X83" s="30"/>
      <c r="Y83" s="24">
        <v>2030587</v>
      </c>
      <c r="Z83" s="30"/>
      <c r="AA83" s="24">
        <v>788686</v>
      </c>
      <c r="AB83" s="30"/>
      <c r="AC83" s="30">
        <f aca="true" t="shared" si="6" ref="AC83:AC89">SUM(C83:AA83)</f>
        <v>50616212</v>
      </c>
      <c r="AD83" s="30"/>
      <c r="AE83" s="103">
        <f aca="true" t="shared" si="7" ref="AE83:AE89">SUM(C83:S83)</f>
        <v>42703283</v>
      </c>
      <c r="AF83" s="24"/>
      <c r="AG83" s="24">
        <v>2278097</v>
      </c>
      <c r="AH83" s="102"/>
      <c r="AI83" s="24">
        <v>13237559</v>
      </c>
      <c r="AJ83" s="102"/>
      <c r="AK83" s="24">
        <v>0</v>
      </c>
      <c r="AL83" s="102"/>
      <c r="AM83" s="34">
        <f>+'Gov Fd Rv'!Q84+'Gov Fd Rv'!S84-'Gov Fnd Exp'!AC83-AG83+AI83-'Gov Fd BS'!O84+AK83</f>
        <v>0</v>
      </c>
    </row>
    <row r="84" spans="1:39" ht="12.75" customHeight="1">
      <c r="A84" s="32" t="s">
        <v>71</v>
      </c>
      <c r="B84" s="32"/>
      <c r="C84" s="24">
        <v>5830006</v>
      </c>
      <c r="D84" s="30"/>
      <c r="E84" s="24">
        <v>2656949</v>
      </c>
      <c r="F84" s="30"/>
      <c r="G84" s="24">
        <v>6813153</v>
      </c>
      <c r="H84" s="30"/>
      <c r="I84" s="24">
        <v>3006488</v>
      </c>
      <c r="J84" s="30"/>
      <c r="K84" s="24">
        <v>8304570</v>
      </c>
      <c r="L84" s="30"/>
      <c r="M84" s="24">
        <v>8446199</v>
      </c>
      <c r="N84" s="30"/>
      <c r="O84" s="24">
        <v>261212</v>
      </c>
      <c r="P84" s="30"/>
      <c r="Q84" s="24">
        <v>35031</v>
      </c>
      <c r="R84" s="30"/>
      <c r="S84" s="24">
        <v>0</v>
      </c>
      <c r="T84" s="30"/>
      <c r="U84" s="24">
        <v>6253730</v>
      </c>
      <c r="V84" s="30"/>
      <c r="W84" s="24">
        <v>0</v>
      </c>
      <c r="X84" s="30"/>
      <c r="Y84" s="24">
        <v>443165</v>
      </c>
      <c r="Z84" s="30"/>
      <c r="AA84" s="24">
        <v>155304</v>
      </c>
      <c r="AB84" s="30"/>
      <c r="AC84" s="30">
        <f t="shared" si="6"/>
        <v>42205807</v>
      </c>
      <c r="AD84" s="30"/>
      <c r="AE84" s="103">
        <f t="shared" si="7"/>
        <v>35353608</v>
      </c>
      <c r="AF84" s="33"/>
      <c r="AG84" s="24">
        <v>2188728</v>
      </c>
      <c r="AH84" s="34"/>
      <c r="AI84" s="24">
        <v>21140900</v>
      </c>
      <c r="AJ84" s="34"/>
      <c r="AK84" s="24">
        <v>0</v>
      </c>
      <c r="AL84" s="34"/>
      <c r="AM84" s="34">
        <f>+'Gov Fd Rv'!Q85+'Gov Fd Rv'!S85-'Gov Fnd Exp'!AC84-AG84+AI84-'Gov Fd BS'!O85+AK84</f>
        <v>0</v>
      </c>
    </row>
    <row r="85" spans="1:39" ht="12.75" customHeight="1">
      <c r="A85" s="32" t="s">
        <v>72</v>
      </c>
      <c r="B85" s="32"/>
      <c r="C85" s="24">
        <v>4665616</v>
      </c>
      <c r="D85" s="30"/>
      <c r="E85" s="24">
        <v>2541354</v>
      </c>
      <c r="F85" s="30"/>
      <c r="G85" s="24">
        <v>4825301</v>
      </c>
      <c r="H85" s="30"/>
      <c r="I85" s="24">
        <v>7973594</v>
      </c>
      <c r="J85" s="30"/>
      <c r="K85" s="24">
        <v>235021</v>
      </c>
      <c r="L85" s="30"/>
      <c r="M85" s="24">
        <v>13887548</v>
      </c>
      <c r="N85" s="30"/>
      <c r="O85" s="24">
        <v>368802</v>
      </c>
      <c r="P85" s="30"/>
      <c r="Q85" s="24">
        <v>0</v>
      </c>
      <c r="R85" s="30"/>
      <c r="S85" s="24">
        <v>0</v>
      </c>
      <c r="T85" s="30"/>
      <c r="U85" s="24">
        <v>412137</v>
      </c>
      <c r="V85" s="30"/>
      <c r="W85" s="24">
        <v>295837</v>
      </c>
      <c r="X85" s="30"/>
      <c r="Y85" s="24">
        <v>230294</v>
      </c>
      <c r="Z85" s="30"/>
      <c r="AA85" s="24">
        <v>34170</v>
      </c>
      <c r="AB85" s="30"/>
      <c r="AC85" s="30">
        <f t="shared" si="6"/>
        <v>35469674</v>
      </c>
      <c r="AD85" s="30"/>
      <c r="AE85" s="103">
        <f t="shared" si="7"/>
        <v>34497236</v>
      </c>
      <c r="AF85" s="33"/>
      <c r="AG85" s="24">
        <v>1215246</v>
      </c>
      <c r="AH85" s="34"/>
      <c r="AI85" s="24">
        <v>18243945</v>
      </c>
      <c r="AJ85" s="34"/>
      <c r="AK85" s="24">
        <v>0</v>
      </c>
      <c r="AL85" s="34"/>
      <c r="AM85" s="34">
        <f>+'Gov Fd Rv'!Q86+'Gov Fd Rv'!S86-'Gov Fnd Exp'!AC85-AG85+AI85-'Gov Fd BS'!O86+AK85</f>
        <v>0</v>
      </c>
    </row>
    <row r="86" spans="1:39" ht="12.75" customHeight="1">
      <c r="A86" s="32" t="s">
        <v>73</v>
      </c>
      <c r="B86" s="32"/>
      <c r="C86" s="24">
        <v>27315200</v>
      </c>
      <c r="D86" s="30"/>
      <c r="E86" s="24">
        <v>16597403</v>
      </c>
      <c r="F86" s="30"/>
      <c r="G86" s="24">
        <v>27873870</v>
      </c>
      <c r="H86" s="30"/>
      <c r="I86" s="24">
        <v>20785434</v>
      </c>
      <c r="J86" s="30"/>
      <c r="K86" s="24">
        <v>83583620</v>
      </c>
      <c r="L86" s="30"/>
      <c r="M86" s="24">
        <v>58205760</v>
      </c>
      <c r="N86" s="30"/>
      <c r="O86" s="24">
        <v>11097607</v>
      </c>
      <c r="P86" s="30"/>
      <c r="Q86" s="24">
        <v>79888</v>
      </c>
      <c r="R86" s="30"/>
      <c r="S86" s="24">
        <v>0</v>
      </c>
      <c r="T86" s="30"/>
      <c r="U86" s="24">
        <v>0</v>
      </c>
      <c r="V86" s="30"/>
      <c r="W86" s="24">
        <v>0</v>
      </c>
      <c r="X86" s="30"/>
      <c r="Y86" s="24">
        <v>553869</v>
      </c>
      <c r="Z86" s="30"/>
      <c r="AA86" s="24">
        <f>203428+39378</f>
        <v>242806</v>
      </c>
      <c r="AB86" s="30"/>
      <c r="AC86" s="30">
        <f t="shared" si="6"/>
        <v>246335457</v>
      </c>
      <c r="AD86" s="30"/>
      <c r="AE86" s="103">
        <f t="shared" si="7"/>
        <v>245538782</v>
      </c>
      <c r="AF86" s="33"/>
      <c r="AG86" s="24">
        <f>855000+1067769</f>
        <v>1922769</v>
      </c>
      <c r="AH86" s="34"/>
      <c r="AI86" s="24">
        <v>83594566</v>
      </c>
      <c r="AJ86" s="34"/>
      <c r="AK86" s="24">
        <v>0</v>
      </c>
      <c r="AL86" s="34"/>
      <c r="AM86" s="34">
        <f>+'Gov Fd Rv'!Q87+'Gov Fd Rv'!S87-'Gov Fnd Exp'!AC86-AG86+AI86-'Gov Fd BS'!O87+AK86</f>
        <v>0</v>
      </c>
    </row>
    <row r="87" spans="1:39" ht="12.75" customHeight="1" hidden="1">
      <c r="A87" s="32" t="s">
        <v>74</v>
      </c>
      <c r="B87" s="32"/>
      <c r="C87" s="24">
        <v>0</v>
      </c>
      <c r="D87" s="30"/>
      <c r="E87" s="24">
        <v>0</v>
      </c>
      <c r="F87" s="30"/>
      <c r="G87" s="24">
        <v>0</v>
      </c>
      <c r="H87" s="30"/>
      <c r="I87" s="24">
        <v>0</v>
      </c>
      <c r="J87" s="30"/>
      <c r="K87" s="24">
        <v>0</v>
      </c>
      <c r="L87" s="30"/>
      <c r="M87" s="24">
        <v>0</v>
      </c>
      <c r="N87" s="30"/>
      <c r="O87" s="24">
        <v>0</v>
      </c>
      <c r="P87" s="30"/>
      <c r="Q87" s="24">
        <v>0</v>
      </c>
      <c r="R87" s="30"/>
      <c r="S87" s="24">
        <v>0</v>
      </c>
      <c r="T87" s="30"/>
      <c r="U87" s="24">
        <v>0</v>
      </c>
      <c r="V87" s="30"/>
      <c r="W87" s="24">
        <v>0</v>
      </c>
      <c r="X87" s="30"/>
      <c r="Y87" s="24">
        <v>0</v>
      </c>
      <c r="Z87" s="30"/>
      <c r="AA87" s="24">
        <v>0</v>
      </c>
      <c r="AB87" s="30"/>
      <c r="AC87" s="30">
        <f t="shared" si="6"/>
        <v>0</v>
      </c>
      <c r="AD87" s="30"/>
      <c r="AE87" s="103">
        <f t="shared" si="7"/>
        <v>0</v>
      </c>
      <c r="AF87" s="33"/>
      <c r="AG87" s="24">
        <v>0</v>
      </c>
      <c r="AH87" s="34"/>
      <c r="AI87" s="24">
        <v>0</v>
      </c>
      <c r="AJ87" s="34"/>
      <c r="AK87" s="24">
        <v>0</v>
      </c>
      <c r="AL87" s="34"/>
      <c r="AM87" s="34">
        <f>+'Gov Fd Rv'!Q88+'Gov Fd Rv'!S88-'Gov Fnd Exp'!AC87-AG87+AI87-'Gov Fd BS'!O88+AK87</f>
        <v>0</v>
      </c>
    </row>
    <row r="88" spans="1:39" ht="12.75" customHeight="1">
      <c r="A88" s="32" t="s">
        <v>75</v>
      </c>
      <c r="B88" s="32"/>
      <c r="C88" s="24">
        <v>24042940</v>
      </c>
      <c r="D88" s="30"/>
      <c r="E88" s="24">
        <v>12734986</v>
      </c>
      <c r="F88" s="30"/>
      <c r="G88" s="24">
        <v>20111025</v>
      </c>
      <c r="H88" s="30"/>
      <c r="I88" s="24">
        <v>11507649</v>
      </c>
      <c r="J88" s="30"/>
      <c r="K88" s="24">
        <v>40564780</v>
      </c>
      <c r="L88" s="30"/>
      <c r="M88" s="24">
        <v>44991357</v>
      </c>
      <c r="N88" s="30"/>
      <c r="O88" s="24">
        <v>223826</v>
      </c>
      <c r="P88" s="30"/>
      <c r="Q88" s="24">
        <v>1201725</v>
      </c>
      <c r="R88" s="30"/>
      <c r="S88" s="24">
        <v>0</v>
      </c>
      <c r="T88" s="30"/>
      <c r="U88" s="24">
        <v>0</v>
      </c>
      <c r="V88" s="30"/>
      <c r="W88" s="24">
        <v>2704712</v>
      </c>
      <c r="X88" s="30"/>
      <c r="Y88" s="24">
        <v>1925820</v>
      </c>
      <c r="Z88" s="30"/>
      <c r="AA88" s="24">
        <v>46585</v>
      </c>
      <c r="AB88" s="30"/>
      <c r="AC88" s="30">
        <f t="shared" si="6"/>
        <v>160055405</v>
      </c>
      <c r="AD88" s="30"/>
      <c r="AE88" s="103">
        <f t="shared" si="7"/>
        <v>155378288</v>
      </c>
      <c r="AF88" s="33"/>
      <c r="AG88" s="24">
        <f>4225474</f>
        <v>4225474</v>
      </c>
      <c r="AH88" s="34"/>
      <c r="AI88" s="24">
        <v>62491264</v>
      </c>
      <c r="AJ88" s="34"/>
      <c r="AK88" s="24">
        <v>0</v>
      </c>
      <c r="AL88" s="34"/>
      <c r="AM88" s="34">
        <f>+'Gov Fd Rv'!Q89+'Gov Fd Rv'!S89-'Gov Fnd Exp'!AC88-AG88+AI88-'Gov Fd BS'!O89+AK88</f>
        <v>0</v>
      </c>
    </row>
    <row r="89" spans="1:39" ht="12.75" customHeight="1">
      <c r="A89" s="32" t="s">
        <v>76</v>
      </c>
      <c r="B89" s="32"/>
      <c r="C89" s="24">
        <v>6405646</v>
      </c>
      <c r="D89" s="30"/>
      <c r="E89" s="24">
        <v>4341884</v>
      </c>
      <c r="F89" s="30"/>
      <c r="G89" s="24">
        <v>7211371</v>
      </c>
      <c r="H89" s="30"/>
      <c r="I89" s="24">
        <v>5673528</v>
      </c>
      <c r="J89" s="30"/>
      <c r="K89" s="24">
        <v>8037300</v>
      </c>
      <c r="L89" s="30"/>
      <c r="M89" s="24">
        <v>14434631</v>
      </c>
      <c r="N89" s="30"/>
      <c r="O89" s="24">
        <v>373642</v>
      </c>
      <c r="P89" s="30"/>
      <c r="Q89" s="24">
        <v>0</v>
      </c>
      <c r="R89" s="30"/>
      <c r="S89" s="24">
        <v>0</v>
      </c>
      <c r="T89" s="30"/>
      <c r="U89" s="24">
        <v>5471769</v>
      </c>
      <c r="V89" s="30"/>
      <c r="W89" s="24">
        <v>2139137</v>
      </c>
      <c r="X89" s="30"/>
      <c r="Y89" s="24">
        <v>47462</v>
      </c>
      <c r="Z89" s="30"/>
      <c r="AA89" s="24">
        <v>43155</v>
      </c>
      <c r="AB89" s="30"/>
      <c r="AC89" s="30">
        <f t="shared" si="6"/>
        <v>54179525</v>
      </c>
      <c r="AD89" s="30"/>
      <c r="AE89" s="103">
        <f t="shared" si="7"/>
        <v>46478002</v>
      </c>
      <c r="AF89" s="33"/>
      <c r="AG89" s="24">
        <v>7752953</v>
      </c>
      <c r="AH89" s="34"/>
      <c r="AI89" s="24">
        <v>41858092</v>
      </c>
      <c r="AJ89" s="34"/>
      <c r="AK89" s="24">
        <v>0</v>
      </c>
      <c r="AL89" s="34"/>
      <c r="AM89" s="34">
        <f>+'Gov Fd Rv'!Q90+'Gov Fd Rv'!S90-'Gov Fnd Exp'!AC89-AG89+AI89-'Gov Fd BS'!O90+AK89</f>
        <v>0</v>
      </c>
    </row>
    <row r="90" spans="1:39" s="39" customFormat="1" ht="12.75" customHeight="1">
      <c r="A90" s="24" t="s">
        <v>77</v>
      </c>
      <c r="B90" s="24"/>
      <c r="C90" s="24">
        <v>10184817</v>
      </c>
      <c r="D90" s="30"/>
      <c r="E90" s="24">
        <v>2540917</v>
      </c>
      <c r="F90" s="30"/>
      <c r="G90" s="24">
        <v>6718534</v>
      </c>
      <c r="H90" s="30"/>
      <c r="I90" s="24">
        <v>6231680</v>
      </c>
      <c r="J90" s="30"/>
      <c r="K90" s="24">
        <v>3178564</v>
      </c>
      <c r="L90" s="30"/>
      <c r="M90" s="24">
        <v>15033670</v>
      </c>
      <c r="N90" s="30"/>
      <c r="O90" s="24">
        <v>310486</v>
      </c>
      <c r="P90" s="30"/>
      <c r="Q90" s="24">
        <v>0</v>
      </c>
      <c r="R90" s="30"/>
      <c r="S90" s="24">
        <v>0</v>
      </c>
      <c r="T90" s="30"/>
      <c r="U90" s="24">
        <v>1686313</v>
      </c>
      <c r="V90" s="30"/>
      <c r="W90" s="24">
        <v>1433617</v>
      </c>
      <c r="X90" s="30"/>
      <c r="Y90" s="24">
        <v>856794</v>
      </c>
      <c r="Z90" s="30"/>
      <c r="AA90" s="24">
        <f>341620+18399</f>
        <v>360019</v>
      </c>
      <c r="AB90" s="30"/>
      <c r="AC90" s="30">
        <f t="shared" si="2"/>
        <v>48535411</v>
      </c>
      <c r="AD90" s="30"/>
      <c r="AE90" s="103">
        <f t="shared" si="3"/>
        <v>44198668</v>
      </c>
      <c r="AF90" s="24"/>
      <c r="AG90" s="24">
        <v>1107084</v>
      </c>
      <c r="AH90" s="34"/>
      <c r="AI90" s="24">
        <v>25899990</v>
      </c>
      <c r="AJ90" s="34"/>
      <c r="AK90" s="24">
        <v>75295</v>
      </c>
      <c r="AL90" s="102"/>
      <c r="AM90" s="34">
        <f>+'Gov Fd Rv'!Q91+'Gov Fd Rv'!S91-'Gov Fnd Exp'!AC90-AG90+AI90-'Gov Fd BS'!O91+AK90</f>
        <v>0</v>
      </c>
    </row>
    <row r="91" spans="1:39" ht="12.75" customHeight="1">
      <c r="A91" s="32" t="s">
        <v>78</v>
      </c>
      <c r="B91" s="32"/>
      <c r="C91" s="24">
        <v>4431483</v>
      </c>
      <c r="D91" s="30"/>
      <c r="E91" s="24">
        <v>1367327</v>
      </c>
      <c r="F91" s="30"/>
      <c r="G91" s="24">
        <v>2748486</v>
      </c>
      <c r="H91" s="30"/>
      <c r="I91" s="24">
        <v>4158100</v>
      </c>
      <c r="J91" s="30"/>
      <c r="K91" s="24">
        <v>103630</v>
      </c>
      <c r="L91" s="30"/>
      <c r="M91" s="24">
        <v>6074858</v>
      </c>
      <c r="N91" s="30"/>
      <c r="O91" s="24">
        <v>898617</v>
      </c>
      <c r="P91" s="30"/>
      <c r="Q91" s="24">
        <v>5193</v>
      </c>
      <c r="R91" s="30"/>
      <c r="S91" s="24">
        <v>0</v>
      </c>
      <c r="T91" s="30"/>
      <c r="U91" s="24">
        <v>637545</v>
      </c>
      <c r="V91" s="30"/>
      <c r="W91" s="24">
        <v>195886</v>
      </c>
      <c r="X91" s="30"/>
      <c r="Y91" s="24">
        <v>678542</v>
      </c>
      <c r="Z91" s="30"/>
      <c r="AA91" s="24">
        <v>260506</v>
      </c>
      <c r="AB91" s="30"/>
      <c r="AC91" s="30">
        <f t="shared" si="2"/>
        <v>21560173</v>
      </c>
      <c r="AD91" s="30"/>
      <c r="AE91" s="103">
        <f t="shared" si="3"/>
        <v>19787694</v>
      </c>
      <c r="AF91" s="33"/>
      <c r="AG91" s="24">
        <v>387477</v>
      </c>
      <c r="AH91" s="34"/>
      <c r="AI91" s="24">
        <v>7265308</v>
      </c>
      <c r="AJ91" s="34"/>
      <c r="AK91" s="24">
        <v>0</v>
      </c>
      <c r="AL91" s="34"/>
      <c r="AM91" s="34">
        <f>+'Gov Fd Rv'!Q92+'Gov Fd Rv'!S92-'Gov Fnd Exp'!AC91-AG91+AI91-'Gov Fd BS'!O92+AK91</f>
        <v>270</v>
      </c>
    </row>
    <row r="92" spans="1:39" ht="12.75" customHeight="1" hidden="1">
      <c r="A92" s="32" t="s">
        <v>79</v>
      </c>
      <c r="B92" s="32"/>
      <c r="C92" s="24">
        <v>0</v>
      </c>
      <c r="D92" s="30"/>
      <c r="E92" s="24">
        <v>0</v>
      </c>
      <c r="F92" s="30"/>
      <c r="G92" s="24">
        <v>0</v>
      </c>
      <c r="H92" s="30"/>
      <c r="I92" s="24">
        <v>0</v>
      </c>
      <c r="J92" s="30"/>
      <c r="K92" s="24">
        <v>0</v>
      </c>
      <c r="L92" s="30"/>
      <c r="M92" s="24">
        <v>0</v>
      </c>
      <c r="N92" s="30"/>
      <c r="O92" s="24">
        <v>0</v>
      </c>
      <c r="P92" s="30"/>
      <c r="Q92" s="24">
        <v>0</v>
      </c>
      <c r="R92" s="30"/>
      <c r="S92" s="24">
        <v>0</v>
      </c>
      <c r="T92" s="30"/>
      <c r="U92" s="24">
        <v>0</v>
      </c>
      <c r="V92" s="30"/>
      <c r="W92" s="24">
        <v>0</v>
      </c>
      <c r="X92" s="30"/>
      <c r="Y92" s="24">
        <v>0</v>
      </c>
      <c r="Z92" s="30"/>
      <c r="AA92" s="24">
        <v>0</v>
      </c>
      <c r="AB92" s="30"/>
      <c r="AC92" s="30">
        <f t="shared" si="2"/>
        <v>0</v>
      </c>
      <c r="AD92" s="30"/>
      <c r="AE92" s="103">
        <f t="shared" si="3"/>
        <v>0</v>
      </c>
      <c r="AF92" s="33"/>
      <c r="AG92" s="24">
        <v>0</v>
      </c>
      <c r="AH92" s="34"/>
      <c r="AI92" s="24">
        <v>0</v>
      </c>
      <c r="AJ92" s="34"/>
      <c r="AK92" s="24">
        <v>0</v>
      </c>
      <c r="AL92" s="34"/>
      <c r="AM92" s="34">
        <f>+'Gov Fd Rv'!Q93+'Gov Fd Rv'!S93-'Gov Fnd Exp'!AC92-AG92+AI92-'Gov Fd BS'!O93+AK92</f>
        <v>0</v>
      </c>
    </row>
    <row r="93" spans="1:39" ht="12.75" customHeight="1">
      <c r="A93" s="32" t="s">
        <v>80</v>
      </c>
      <c r="B93" s="32"/>
      <c r="C93" s="24">
        <v>20526767</v>
      </c>
      <c r="D93" s="30"/>
      <c r="E93" s="24">
        <v>12182709</v>
      </c>
      <c r="F93" s="30"/>
      <c r="G93" s="24">
        <v>26238567</v>
      </c>
      <c r="H93" s="30"/>
      <c r="I93" s="24">
        <v>7459346</v>
      </c>
      <c r="J93" s="30"/>
      <c r="K93" s="24">
        <v>664957</v>
      </c>
      <c r="L93" s="30"/>
      <c r="M93" s="24">
        <v>44264474</v>
      </c>
      <c r="N93" s="30"/>
      <c r="O93" s="24">
        <v>1961672</v>
      </c>
      <c r="P93" s="30"/>
      <c r="Q93" s="24">
        <v>0</v>
      </c>
      <c r="R93" s="30"/>
      <c r="S93" s="24">
        <v>0</v>
      </c>
      <c r="T93" s="30"/>
      <c r="U93" s="24">
        <v>6817539</v>
      </c>
      <c r="V93" s="30"/>
      <c r="W93" s="24">
        <v>0</v>
      </c>
      <c r="X93" s="30"/>
      <c r="Y93" s="24">
        <v>3442853</v>
      </c>
      <c r="Z93" s="30"/>
      <c r="AA93" s="24">
        <v>1366104</v>
      </c>
      <c r="AB93" s="30"/>
      <c r="AC93" s="30">
        <f aca="true" t="shared" si="8" ref="AC93:AC98">SUM(C93:AA93)</f>
        <v>124924988</v>
      </c>
      <c r="AD93" s="30"/>
      <c r="AE93" s="103">
        <f aca="true" t="shared" si="9" ref="AE93:AE98">SUM(C93:S93)</f>
        <v>113298492</v>
      </c>
      <c r="AF93" s="33"/>
      <c r="AG93" s="24">
        <v>6354321</v>
      </c>
      <c r="AH93" s="34"/>
      <c r="AI93" s="24">
        <v>116761088</v>
      </c>
      <c r="AJ93" s="34"/>
      <c r="AK93" s="24">
        <v>11601</v>
      </c>
      <c r="AL93" s="34"/>
      <c r="AM93" s="34">
        <f>+'Gov Fd Rv'!Q94+'Gov Fd Rv'!S94-'Gov Fnd Exp'!AC93-AG93+AI93-'Gov Fd BS'!O94+AK93</f>
        <v>0</v>
      </c>
    </row>
    <row r="94" spans="1:39" ht="12.75" customHeight="1">
      <c r="A94" s="32" t="s">
        <v>81</v>
      </c>
      <c r="B94" s="32"/>
      <c r="C94" s="24">
        <v>5334170</v>
      </c>
      <c r="D94" s="30"/>
      <c r="E94" s="24">
        <v>2098446</v>
      </c>
      <c r="F94" s="30"/>
      <c r="G94" s="24">
        <v>8191459</v>
      </c>
      <c r="H94" s="30"/>
      <c r="I94" s="24">
        <v>6273443</v>
      </c>
      <c r="J94" s="30"/>
      <c r="K94" s="24">
        <f>5087723+7644325+2768545+272968</f>
        <v>15773561</v>
      </c>
      <c r="L94" s="30"/>
      <c r="M94" s="24">
        <f>884189+2434948+5136465+1640870</f>
        <v>10096472</v>
      </c>
      <c r="N94" s="30"/>
      <c r="O94" s="24">
        <v>590777</v>
      </c>
      <c r="P94" s="30"/>
      <c r="Q94" s="24">
        <v>0</v>
      </c>
      <c r="R94" s="30"/>
      <c r="S94" s="24">
        <v>0</v>
      </c>
      <c r="T94" s="30"/>
      <c r="U94" s="24">
        <v>0</v>
      </c>
      <c r="V94" s="30"/>
      <c r="W94" s="24">
        <v>719353</v>
      </c>
      <c r="X94" s="30"/>
      <c r="Y94" s="24">
        <v>527879</v>
      </c>
      <c r="Z94" s="30"/>
      <c r="AA94" s="24">
        <v>252309</v>
      </c>
      <c r="AB94" s="30"/>
      <c r="AC94" s="30">
        <f t="shared" si="8"/>
        <v>49857869</v>
      </c>
      <c r="AD94" s="30"/>
      <c r="AE94" s="103">
        <f t="shared" si="9"/>
        <v>48358328</v>
      </c>
      <c r="AF94" s="33"/>
      <c r="AG94" s="24">
        <v>1793372</v>
      </c>
      <c r="AH94" s="34"/>
      <c r="AI94" s="24">
        <v>23884935</v>
      </c>
      <c r="AJ94" s="34"/>
      <c r="AK94" s="24">
        <v>0</v>
      </c>
      <c r="AL94" s="34"/>
      <c r="AM94" s="34">
        <f>+'Gov Fd Rv'!Q95+'Gov Fd Rv'!S95-'Gov Fnd Exp'!AC94-AG94+AI94-'Gov Fd BS'!O95+AK94</f>
        <v>0</v>
      </c>
    </row>
    <row r="95" spans="1:39" ht="12.75" customHeight="1">
      <c r="A95" s="32" t="s">
        <v>82</v>
      </c>
      <c r="B95" s="32"/>
      <c r="C95" s="24">
        <v>7353720</v>
      </c>
      <c r="D95" s="30"/>
      <c r="E95" s="24">
        <v>5009989</v>
      </c>
      <c r="F95" s="30"/>
      <c r="G95" s="24">
        <v>10459157</v>
      </c>
      <c r="H95" s="30"/>
      <c r="I95" s="24">
        <v>7317536</v>
      </c>
      <c r="J95" s="30"/>
      <c r="K95" s="24">
        <v>485647</v>
      </c>
      <c r="L95" s="30"/>
      <c r="M95" s="24">
        <v>33528980</v>
      </c>
      <c r="N95" s="30"/>
      <c r="O95" s="24">
        <v>608095</v>
      </c>
      <c r="P95" s="30"/>
      <c r="Q95" s="24">
        <v>527294</v>
      </c>
      <c r="R95" s="30"/>
      <c r="S95" s="24">
        <v>2715341</v>
      </c>
      <c r="T95" s="30"/>
      <c r="U95" s="24">
        <v>0</v>
      </c>
      <c r="V95" s="30"/>
      <c r="W95" s="24">
        <v>0</v>
      </c>
      <c r="X95" s="30"/>
      <c r="Y95" s="24">
        <v>621786</v>
      </c>
      <c r="Z95" s="30"/>
      <c r="AA95" s="24">
        <v>411808</v>
      </c>
      <c r="AB95" s="30"/>
      <c r="AC95" s="30">
        <f t="shared" si="8"/>
        <v>69039353</v>
      </c>
      <c r="AD95" s="30"/>
      <c r="AE95" s="103">
        <f t="shared" si="9"/>
        <v>68005759</v>
      </c>
      <c r="AF95" s="33"/>
      <c r="AG95" s="24">
        <v>1744500</v>
      </c>
      <c r="AH95" s="34"/>
      <c r="AI95" s="24">
        <v>35665834</v>
      </c>
      <c r="AJ95" s="34"/>
      <c r="AK95" s="24">
        <v>-50392</v>
      </c>
      <c r="AL95" s="34"/>
      <c r="AM95" s="34">
        <f>+'Gov Fd Rv'!Q96+'Gov Fd Rv'!S96-'Gov Fnd Exp'!AC95-AG95+AI95-'Gov Fd BS'!O96+AK95</f>
        <v>0</v>
      </c>
    </row>
    <row r="96" spans="1:39" ht="12.75" customHeight="1" hidden="1">
      <c r="A96" s="32" t="s">
        <v>174</v>
      </c>
      <c r="B96" s="32"/>
      <c r="C96" s="24">
        <v>0</v>
      </c>
      <c r="D96" s="30"/>
      <c r="E96" s="24">
        <v>0</v>
      </c>
      <c r="F96" s="30"/>
      <c r="G96" s="24">
        <v>0</v>
      </c>
      <c r="H96" s="30"/>
      <c r="I96" s="24">
        <v>0</v>
      </c>
      <c r="J96" s="30"/>
      <c r="K96" s="24">
        <v>0</v>
      </c>
      <c r="L96" s="30"/>
      <c r="M96" s="24">
        <v>0</v>
      </c>
      <c r="N96" s="30"/>
      <c r="O96" s="24">
        <v>0</v>
      </c>
      <c r="P96" s="30"/>
      <c r="Q96" s="24">
        <v>0</v>
      </c>
      <c r="R96" s="30"/>
      <c r="S96" s="24">
        <v>0</v>
      </c>
      <c r="T96" s="30"/>
      <c r="U96" s="24">
        <v>0</v>
      </c>
      <c r="V96" s="30"/>
      <c r="W96" s="24">
        <v>0</v>
      </c>
      <c r="X96" s="30"/>
      <c r="Y96" s="24">
        <v>0</v>
      </c>
      <c r="Z96" s="30"/>
      <c r="AA96" s="24">
        <v>0</v>
      </c>
      <c r="AB96" s="30"/>
      <c r="AC96" s="30">
        <f t="shared" si="8"/>
        <v>0</v>
      </c>
      <c r="AD96" s="30"/>
      <c r="AE96" s="103">
        <f t="shared" si="9"/>
        <v>0</v>
      </c>
      <c r="AF96" s="33"/>
      <c r="AG96" s="24">
        <v>0</v>
      </c>
      <c r="AH96" s="34"/>
      <c r="AI96" s="24">
        <v>0</v>
      </c>
      <c r="AJ96" s="34"/>
      <c r="AK96" s="24">
        <v>0</v>
      </c>
      <c r="AL96" s="34"/>
      <c r="AM96" s="34">
        <f>+'Gov Fd Rv'!Q97+'Gov Fd Rv'!S97-'Gov Fnd Exp'!AC96-AG96+AI96-'Gov Fd BS'!O97+AK96</f>
        <v>0</v>
      </c>
    </row>
    <row r="97" spans="1:39" ht="12.75" customHeight="1">
      <c r="A97" s="32" t="s">
        <v>83</v>
      </c>
      <c r="B97" s="32"/>
      <c r="C97" s="24">
        <v>17754175</v>
      </c>
      <c r="D97" s="30"/>
      <c r="E97" s="24">
        <f>8589281+399154</f>
        <v>8988435</v>
      </c>
      <c r="F97" s="30"/>
      <c r="G97" s="24">
        <v>8154157</v>
      </c>
      <c r="H97" s="30"/>
      <c r="I97" s="24">
        <v>7906046</v>
      </c>
      <c r="J97" s="30"/>
      <c r="K97" s="24">
        <v>13411213</v>
      </c>
      <c r="L97" s="30"/>
      <c r="M97" s="24">
        <v>41908394</v>
      </c>
      <c r="N97" s="30"/>
      <c r="O97" s="24">
        <v>1052286</v>
      </c>
      <c r="P97" s="30"/>
      <c r="Q97" s="24">
        <v>305233</v>
      </c>
      <c r="R97" s="30"/>
      <c r="S97" s="24">
        <v>399657</v>
      </c>
      <c r="T97" s="30"/>
      <c r="U97" s="24">
        <v>2334574</v>
      </c>
      <c r="V97" s="30"/>
      <c r="W97" s="24">
        <v>0</v>
      </c>
      <c r="X97" s="30"/>
      <c r="Y97" s="24">
        <v>971455</v>
      </c>
      <c r="Z97" s="30"/>
      <c r="AA97" s="24">
        <v>370658</v>
      </c>
      <c r="AB97" s="30"/>
      <c r="AC97" s="30">
        <f t="shared" si="8"/>
        <v>103556283</v>
      </c>
      <c r="AD97" s="30"/>
      <c r="AE97" s="103">
        <f t="shared" si="9"/>
        <v>99879596</v>
      </c>
      <c r="AF97" s="33"/>
      <c r="AG97" s="24">
        <v>3230541</v>
      </c>
      <c r="AH97" s="34"/>
      <c r="AI97" s="24">
        <v>72881185</v>
      </c>
      <c r="AJ97" s="34"/>
      <c r="AK97" s="24">
        <v>0</v>
      </c>
      <c r="AL97" s="34"/>
      <c r="AM97" s="34">
        <f>+'Gov Fd Rv'!Q98+'Gov Fd Rv'!S98-'Gov Fnd Exp'!AC97-AG97+AI97-'Gov Fd BS'!O98+AK97</f>
        <v>0</v>
      </c>
    </row>
    <row r="98" spans="1:39" ht="12.75" customHeight="1" hidden="1">
      <c r="A98" s="32" t="s">
        <v>175</v>
      </c>
      <c r="B98" s="32"/>
      <c r="C98" s="40">
        <v>0</v>
      </c>
      <c r="D98" s="40"/>
      <c r="E98" s="24">
        <v>0</v>
      </c>
      <c r="F98" s="30"/>
      <c r="G98" s="24">
        <v>0</v>
      </c>
      <c r="H98" s="30"/>
      <c r="I98" s="24">
        <v>0</v>
      </c>
      <c r="J98" s="30"/>
      <c r="K98" s="24">
        <v>0</v>
      </c>
      <c r="L98" s="30"/>
      <c r="M98" s="24">
        <v>0</v>
      </c>
      <c r="N98" s="30"/>
      <c r="O98" s="24">
        <v>0</v>
      </c>
      <c r="P98" s="30"/>
      <c r="Q98" s="24">
        <v>0</v>
      </c>
      <c r="R98" s="30"/>
      <c r="S98" s="24">
        <v>0</v>
      </c>
      <c r="T98" s="30"/>
      <c r="U98" s="24">
        <v>0</v>
      </c>
      <c r="V98" s="30"/>
      <c r="W98" s="24">
        <v>0</v>
      </c>
      <c r="X98" s="30"/>
      <c r="Y98" s="24">
        <v>0</v>
      </c>
      <c r="Z98" s="30"/>
      <c r="AA98" s="24">
        <v>0</v>
      </c>
      <c r="AB98" s="30"/>
      <c r="AC98" s="30">
        <f t="shared" si="8"/>
        <v>0</v>
      </c>
      <c r="AD98" s="30"/>
      <c r="AE98" s="103">
        <f t="shared" si="9"/>
        <v>0</v>
      </c>
      <c r="AF98" s="24"/>
      <c r="AG98" s="24">
        <v>0</v>
      </c>
      <c r="AH98" s="34"/>
      <c r="AI98" s="24">
        <v>0</v>
      </c>
      <c r="AJ98" s="34"/>
      <c r="AK98" s="24">
        <v>0</v>
      </c>
      <c r="AL98" s="34"/>
      <c r="AM98" s="34">
        <f>+'Gov Fd Rv'!Q99+'Gov Fd Rv'!S99-'Gov Fnd Exp'!AC98-AG98+'Gov Fd Rv'!U99+AI98+AK98-'Gov Fd BS'!O99</f>
        <v>0</v>
      </c>
    </row>
    <row r="99" spans="1:39" ht="12.75" customHeight="1">
      <c r="A99" s="32"/>
      <c r="B99" s="3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34"/>
      <c r="AI99" s="24"/>
      <c r="AJ99" s="34"/>
      <c r="AK99" s="24"/>
      <c r="AL99" s="34"/>
      <c r="AM99" s="34"/>
    </row>
    <row r="100" spans="1:39" ht="12.75" customHeight="1">
      <c r="A100" s="32"/>
      <c r="B100" s="3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34"/>
      <c r="AI100" s="24"/>
      <c r="AJ100" s="34"/>
      <c r="AK100" s="24"/>
      <c r="AL100" s="34"/>
      <c r="AM100" s="34"/>
    </row>
    <row r="101" spans="3:39" ht="12.75" customHeight="1"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39"/>
      <c r="AG101" s="102"/>
      <c r="AH101" s="34"/>
      <c r="AI101" s="102"/>
      <c r="AJ101" s="34"/>
      <c r="AK101" s="102"/>
      <c r="AL101" s="34"/>
      <c r="AM101" s="34"/>
    </row>
    <row r="102" spans="3:39" ht="12.75" customHeight="1"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39"/>
      <c r="AG102" s="102"/>
      <c r="AH102" s="34"/>
      <c r="AI102" s="102"/>
      <c r="AJ102" s="34"/>
      <c r="AK102" s="102"/>
      <c r="AL102" s="34"/>
      <c r="AM102" s="34"/>
    </row>
    <row r="103" spans="3:39" ht="12.75" customHeight="1"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39"/>
      <c r="AG103" s="102"/>
      <c r="AH103" s="34"/>
      <c r="AI103" s="102"/>
      <c r="AJ103" s="34"/>
      <c r="AK103" s="102"/>
      <c r="AL103" s="34"/>
      <c r="AM103" s="34"/>
    </row>
    <row r="104" spans="33:39" ht="12.75" customHeight="1">
      <c r="AG104" s="34"/>
      <c r="AH104" s="34"/>
      <c r="AI104" s="34"/>
      <c r="AJ104" s="34"/>
      <c r="AK104" s="34"/>
      <c r="AL104" s="34"/>
      <c r="AM104" s="34"/>
    </row>
    <row r="105" spans="33:39" ht="12.75" customHeight="1">
      <c r="AG105" s="99"/>
      <c r="AH105" s="34"/>
      <c r="AI105" s="34"/>
      <c r="AJ105" s="34"/>
      <c r="AK105" s="34"/>
      <c r="AL105" s="34"/>
      <c r="AM105" s="34"/>
    </row>
    <row r="106" spans="33:39" ht="12.75" customHeight="1">
      <c r="AG106" s="34"/>
      <c r="AH106" s="34"/>
      <c r="AI106" s="34"/>
      <c r="AJ106" s="34"/>
      <c r="AK106" s="34"/>
      <c r="AL106" s="34"/>
      <c r="AM106" s="34"/>
    </row>
    <row r="107" spans="33:39" ht="12.75" customHeight="1">
      <c r="AG107" s="34"/>
      <c r="AH107" s="34"/>
      <c r="AI107" s="34"/>
      <c r="AJ107" s="34"/>
      <c r="AK107" s="34"/>
      <c r="AL107" s="34"/>
      <c r="AM107" s="34"/>
    </row>
    <row r="108" spans="33:39" ht="12.75" customHeight="1">
      <c r="AG108" s="34"/>
      <c r="AH108" s="34"/>
      <c r="AI108" s="34"/>
      <c r="AJ108" s="34"/>
      <c r="AK108" s="34"/>
      <c r="AL108" s="34"/>
      <c r="AM108" s="34"/>
    </row>
    <row r="109" spans="33:39" ht="12.75" customHeight="1">
      <c r="AG109" s="34"/>
      <c r="AH109" s="34"/>
      <c r="AI109" s="34"/>
      <c r="AJ109" s="34"/>
      <c r="AK109" s="34"/>
      <c r="AL109" s="34"/>
      <c r="AM109" s="34"/>
    </row>
    <row r="110" spans="33:39" ht="12.75" customHeight="1">
      <c r="AG110" s="34"/>
      <c r="AH110" s="34"/>
      <c r="AI110" s="34"/>
      <c r="AJ110" s="34"/>
      <c r="AK110" s="34"/>
      <c r="AL110" s="34"/>
      <c r="AM110" s="34"/>
    </row>
    <row r="111" spans="1:39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G111" s="34"/>
      <c r="AH111" s="34"/>
      <c r="AI111" s="34"/>
      <c r="AJ111" s="34"/>
      <c r="AK111" s="34"/>
      <c r="AL111" s="34"/>
      <c r="AM111" s="34"/>
    </row>
    <row r="112" spans="1:39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G112" s="34"/>
      <c r="AH112" s="34"/>
      <c r="AI112" s="34"/>
      <c r="AJ112" s="34"/>
      <c r="AK112" s="34"/>
      <c r="AL112" s="34"/>
      <c r="AM112" s="34"/>
    </row>
    <row r="113" spans="1:39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G113" s="34"/>
      <c r="AH113" s="34"/>
      <c r="AI113" s="34"/>
      <c r="AJ113" s="34"/>
      <c r="AK113" s="34"/>
      <c r="AL113" s="34"/>
      <c r="AM113" s="34"/>
    </row>
    <row r="114" spans="1:39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G114" s="34"/>
      <c r="AH114" s="34"/>
      <c r="AI114" s="34"/>
      <c r="AJ114" s="34"/>
      <c r="AK114" s="34"/>
      <c r="AL114" s="34"/>
      <c r="AM114" s="34"/>
    </row>
    <row r="115" spans="1:39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G115" s="34"/>
      <c r="AH115" s="34"/>
      <c r="AI115" s="34"/>
      <c r="AJ115" s="34"/>
      <c r="AK115" s="34"/>
      <c r="AL115" s="34"/>
      <c r="AM115" s="34"/>
    </row>
    <row r="116" spans="1:39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G116" s="34"/>
      <c r="AH116" s="34"/>
      <c r="AI116" s="34"/>
      <c r="AJ116" s="34"/>
      <c r="AK116" s="34"/>
      <c r="AL116" s="34"/>
      <c r="AM116" s="34"/>
    </row>
    <row r="117" spans="1:39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G117" s="34"/>
      <c r="AH117" s="34"/>
      <c r="AI117" s="34"/>
      <c r="AJ117" s="34"/>
      <c r="AK117" s="34"/>
      <c r="AL117" s="34"/>
      <c r="AM117" s="34"/>
    </row>
    <row r="118" spans="1:39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G118" s="34"/>
      <c r="AH118" s="34"/>
      <c r="AI118" s="34"/>
      <c r="AJ118" s="34"/>
      <c r="AK118" s="34"/>
      <c r="AL118" s="34"/>
      <c r="AM118" s="34"/>
    </row>
    <row r="119" spans="1:3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G119" s="34"/>
      <c r="AH119" s="34"/>
      <c r="AI119" s="34"/>
      <c r="AJ119" s="34"/>
      <c r="AK119" s="34"/>
      <c r="AL119" s="34"/>
      <c r="AM119" s="34"/>
    </row>
    <row r="120" spans="1:39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G120" s="34"/>
      <c r="AH120" s="34"/>
      <c r="AI120" s="34"/>
      <c r="AJ120" s="34"/>
      <c r="AK120" s="34"/>
      <c r="AL120" s="34"/>
      <c r="AM120" s="34"/>
    </row>
    <row r="121" spans="1:39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G121" s="34"/>
      <c r="AH121" s="34"/>
      <c r="AI121" s="34"/>
      <c r="AJ121" s="34"/>
      <c r="AK121" s="34"/>
      <c r="AL121" s="34"/>
      <c r="AM121" s="34"/>
    </row>
    <row r="122" spans="1:39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G122" s="34"/>
      <c r="AH122" s="34"/>
      <c r="AI122" s="34"/>
      <c r="AJ122" s="34"/>
      <c r="AK122" s="34"/>
      <c r="AL122" s="34"/>
      <c r="AM122" s="34"/>
    </row>
    <row r="123" spans="1:39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G123" s="34"/>
      <c r="AH123" s="34"/>
      <c r="AI123" s="34"/>
      <c r="AJ123" s="34"/>
      <c r="AK123" s="34"/>
      <c r="AL123" s="34"/>
      <c r="AM123" s="34"/>
    </row>
    <row r="124" spans="1:39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G124" s="34"/>
      <c r="AH124" s="34"/>
      <c r="AI124" s="34"/>
      <c r="AJ124" s="34"/>
      <c r="AK124" s="34"/>
      <c r="AL124" s="34"/>
      <c r="AM124" s="34"/>
    </row>
    <row r="125" spans="1:39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G125" s="34"/>
      <c r="AH125" s="34"/>
      <c r="AI125" s="34"/>
      <c r="AJ125" s="34"/>
      <c r="AK125" s="34"/>
      <c r="AL125" s="34"/>
      <c r="AM125" s="34"/>
    </row>
    <row r="126" spans="1:39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G126" s="34"/>
      <c r="AH126" s="34"/>
      <c r="AI126" s="34"/>
      <c r="AJ126" s="34"/>
      <c r="AK126" s="34"/>
      <c r="AL126" s="34"/>
      <c r="AM126" s="34"/>
    </row>
    <row r="127" spans="1:39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G127" s="34"/>
      <c r="AH127" s="34"/>
      <c r="AI127" s="34"/>
      <c r="AJ127" s="34"/>
      <c r="AK127" s="34"/>
      <c r="AL127" s="34"/>
      <c r="AM127" s="34"/>
    </row>
    <row r="128" spans="1:39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G128" s="34"/>
      <c r="AH128" s="34"/>
      <c r="AI128" s="34"/>
      <c r="AJ128" s="34"/>
      <c r="AK128" s="34"/>
      <c r="AL128" s="34"/>
      <c r="AM128" s="34"/>
    </row>
    <row r="129" spans="1:3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G129" s="34"/>
      <c r="AH129" s="34"/>
      <c r="AI129" s="34"/>
      <c r="AJ129" s="34"/>
      <c r="AK129" s="34"/>
      <c r="AL129" s="34"/>
      <c r="AM129" s="34"/>
    </row>
    <row r="130" spans="1:39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G130" s="34"/>
      <c r="AH130" s="34"/>
      <c r="AI130" s="34"/>
      <c r="AJ130" s="34"/>
      <c r="AK130" s="34"/>
      <c r="AL130" s="34"/>
      <c r="AM130" s="34"/>
    </row>
    <row r="131" spans="1:39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G131" s="34"/>
      <c r="AH131" s="34"/>
      <c r="AI131" s="34"/>
      <c r="AJ131" s="34"/>
      <c r="AK131" s="34"/>
      <c r="AL131" s="34"/>
      <c r="AM131" s="34"/>
    </row>
    <row r="132" spans="1:39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G132" s="34"/>
      <c r="AH132" s="34"/>
      <c r="AI132" s="34"/>
      <c r="AJ132" s="34"/>
      <c r="AK132" s="34"/>
      <c r="AL132" s="34"/>
      <c r="AM132" s="34"/>
    </row>
    <row r="133" spans="1:39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G133" s="34"/>
      <c r="AH133" s="34"/>
      <c r="AI133" s="34"/>
      <c r="AJ133" s="34"/>
      <c r="AK133" s="34"/>
      <c r="AL133" s="34"/>
      <c r="AM133" s="34"/>
    </row>
    <row r="134" spans="1:39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G134" s="34"/>
      <c r="AH134" s="34"/>
      <c r="AI134" s="34"/>
      <c r="AJ134" s="34"/>
      <c r="AK134" s="34"/>
      <c r="AL134" s="34"/>
      <c r="AM134" s="34"/>
    </row>
    <row r="135" spans="1:39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G135" s="34"/>
      <c r="AH135" s="34"/>
      <c r="AI135" s="34"/>
      <c r="AJ135" s="34"/>
      <c r="AK135" s="34"/>
      <c r="AL135" s="34"/>
      <c r="AM135" s="34"/>
    </row>
    <row r="136" spans="1:39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G136" s="34"/>
      <c r="AH136" s="34"/>
      <c r="AI136" s="34"/>
      <c r="AJ136" s="34"/>
      <c r="AK136" s="34"/>
      <c r="AL136" s="34"/>
      <c r="AM136" s="34"/>
    </row>
    <row r="137" spans="1:39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G137" s="34"/>
      <c r="AH137" s="34"/>
      <c r="AI137" s="34"/>
      <c r="AJ137" s="34"/>
      <c r="AK137" s="34"/>
      <c r="AL137" s="34"/>
      <c r="AM137" s="34"/>
    </row>
    <row r="138" spans="1:39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G138" s="34"/>
      <c r="AH138" s="34"/>
      <c r="AI138" s="34"/>
      <c r="AJ138" s="34"/>
      <c r="AK138" s="34"/>
      <c r="AL138" s="34"/>
      <c r="AM138" s="34"/>
    </row>
    <row r="139" spans="1: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G139" s="34"/>
      <c r="AH139" s="34"/>
      <c r="AI139" s="34"/>
      <c r="AJ139" s="34"/>
      <c r="AK139" s="34"/>
      <c r="AL139" s="34"/>
      <c r="AM139" s="34"/>
    </row>
    <row r="140" spans="1:39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G140" s="34"/>
      <c r="AH140" s="34"/>
      <c r="AI140" s="34"/>
      <c r="AJ140" s="34"/>
      <c r="AK140" s="34"/>
      <c r="AL140" s="34"/>
      <c r="AM140" s="34"/>
    </row>
    <row r="141" spans="1:39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G141" s="34"/>
      <c r="AH141" s="34"/>
      <c r="AI141" s="34"/>
      <c r="AJ141" s="34"/>
      <c r="AK141" s="34"/>
      <c r="AL141" s="34"/>
      <c r="AM141" s="34"/>
    </row>
    <row r="142" spans="1:39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G142" s="34"/>
      <c r="AH142" s="34"/>
      <c r="AI142" s="34"/>
      <c r="AJ142" s="34"/>
      <c r="AK142" s="34"/>
      <c r="AL142" s="34"/>
      <c r="AM142" s="34"/>
    </row>
    <row r="143" spans="1:39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G143" s="34"/>
      <c r="AH143" s="34"/>
      <c r="AI143" s="34"/>
      <c r="AJ143" s="34"/>
      <c r="AK143" s="34"/>
      <c r="AL143" s="34"/>
      <c r="AM143" s="34"/>
    </row>
    <row r="144" spans="1:39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G144" s="34"/>
      <c r="AH144" s="34"/>
      <c r="AI144" s="34"/>
      <c r="AJ144" s="34"/>
      <c r="AK144" s="34"/>
      <c r="AL144" s="34"/>
      <c r="AM144" s="34"/>
    </row>
    <row r="145" spans="1:39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G145" s="34"/>
      <c r="AH145" s="34"/>
      <c r="AI145" s="34"/>
      <c r="AJ145" s="34"/>
      <c r="AK145" s="34"/>
      <c r="AL145" s="34"/>
      <c r="AM145" s="34"/>
    </row>
    <row r="146" spans="1:39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G146" s="34"/>
      <c r="AH146" s="34"/>
      <c r="AI146" s="34"/>
      <c r="AJ146" s="34"/>
      <c r="AK146" s="34"/>
      <c r="AL146" s="34"/>
      <c r="AM146" s="34"/>
    </row>
    <row r="147" spans="1:39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G147" s="34"/>
      <c r="AH147" s="34"/>
      <c r="AI147" s="34"/>
      <c r="AJ147" s="34"/>
      <c r="AK147" s="34"/>
      <c r="AL147" s="34"/>
      <c r="AM147" s="34"/>
    </row>
    <row r="148" spans="1:39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G148" s="34"/>
      <c r="AH148" s="34"/>
      <c r="AI148" s="34"/>
      <c r="AJ148" s="34"/>
      <c r="AK148" s="34"/>
      <c r="AL148" s="34"/>
      <c r="AM148" s="34"/>
    </row>
    <row r="149" spans="1:3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G149" s="34"/>
      <c r="AH149" s="34"/>
      <c r="AI149" s="34"/>
      <c r="AJ149" s="34"/>
      <c r="AK149" s="34"/>
      <c r="AL149" s="34"/>
      <c r="AM149" s="34"/>
    </row>
    <row r="150" spans="1:39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G150" s="34"/>
      <c r="AH150" s="34"/>
      <c r="AI150" s="34"/>
      <c r="AJ150" s="34"/>
      <c r="AK150" s="34"/>
      <c r="AL150" s="34"/>
      <c r="AM150" s="34"/>
    </row>
    <row r="151" spans="1:39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G151" s="34"/>
      <c r="AH151" s="34"/>
      <c r="AI151" s="34"/>
      <c r="AJ151" s="34"/>
      <c r="AK151" s="34"/>
      <c r="AL151" s="34"/>
      <c r="AM151" s="34"/>
    </row>
    <row r="152" spans="1:39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G152" s="34"/>
      <c r="AH152" s="34"/>
      <c r="AI152" s="34"/>
      <c r="AJ152" s="34"/>
      <c r="AK152" s="34"/>
      <c r="AL152" s="34"/>
      <c r="AM152" s="34"/>
    </row>
    <row r="153" spans="1:39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G153" s="34"/>
      <c r="AH153" s="34"/>
      <c r="AI153" s="34"/>
      <c r="AJ153" s="34"/>
      <c r="AK153" s="34"/>
      <c r="AL153" s="34"/>
      <c r="AM153" s="34"/>
    </row>
    <row r="154" spans="1:39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G154" s="34"/>
      <c r="AH154" s="34"/>
      <c r="AI154" s="34"/>
      <c r="AJ154" s="34"/>
      <c r="AK154" s="34"/>
      <c r="AL154" s="34"/>
      <c r="AM154" s="34"/>
    </row>
    <row r="155" spans="1:39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G155" s="34"/>
      <c r="AH155" s="34"/>
      <c r="AI155" s="34"/>
      <c r="AJ155" s="34"/>
      <c r="AK155" s="34"/>
      <c r="AL155" s="34"/>
      <c r="AM155" s="34"/>
    </row>
    <row r="156" spans="1:39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G156" s="34"/>
      <c r="AH156" s="34"/>
      <c r="AI156" s="34"/>
      <c r="AJ156" s="34"/>
      <c r="AK156" s="34"/>
      <c r="AL156" s="34"/>
      <c r="AM156" s="34"/>
    </row>
    <row r="157" spans="1:39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G157" s="34"/>
      <c r="AH157" s="34"/>
      <c r="AI157" s="34"/>
      <c r="AJ157" s="34"/>
      <c r="AK157" s="34"/>
      <c r="AL157" s="34"/>
      <c r="AM157" s="34"/>
    </row>
    <row r="158" spans="1:39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G158" s="34"/>
      <c r="AH158" s="34"/>
      <c r="AI158" s="34"/>
      <c r="AJ158" s="34"/>
      <c r="AK158" s="34"/>
      <c r="AL158" s="34"/>
      <c r="AM158" s="34"/>
    </row>
    <row r="159" spans="1:3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G159" s="34"/>
      <c r="AH159" s="34"/>
      <c r="AI159" s="34"/>
      <c r="AJ159" s="34"/>
      <c r="AK159" s="34"/>
      <c r="AL159" s="34"/>
      <c r="AM159" s="34"/>
    </row>
    <row r="160" spans="1:39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G160" s="34"/>
      <c r="AH160" s="34"/>
      <c r="AI160" s="34"/>
      <c r="AJ160" s="34"/>
      <c r="AK160" s="34"/>
      <c r="AL160" s="34"/>
      <c r="AM160" s="34"/>
    </row>
    <row r="161" spans="1:39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G161" s="34"/>
      <c r="AH161" s="34"/>
      <c r="AI161" s="34"/>
      <c r="AJ161" s="34"/>
      <c r="AK161" s="34"/>
      <c r="AL161" s="34"/>
      <c r="AM161" s="34"/>
    </row>
    <row r="162" spans="1:39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G162" s="34"/>
      <c r="AH162" s="34"/>
      <c r="AI162" s="34"/>
      <c r="AJ162" s="34"/>
      <c r="AK162" s="34"/>
      <c r="AL162" s="34"/>
      <c r="AM162" s="34"/>
    </row>
    <row r="163" spans="1:39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G163" s="34"/>
      <c r="AH163" s="34"/>
      <c r="AI163" s="34"/>
      <c r="AJ163" s="34"/>
      <c r="AK163" s="34"/>
      <c r="AL163" s="34"/>
      <c r="AM163" s="34"/>
    </row>
    <row r="164" spans="1:39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G164" s="34"/>
      <c r="AH164" s="34"/>
      <c r="AI164" s="34"/>
      <c r="AJ164" s="34"/>
      <c r="AK164" s="34"/>
      <c r="AL164" s="34"/>
      <c r="AM164" s="34"/>
    </row>
    <row r="165" spans="1:39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G165" s="34"/>
      <c r="AH165" s="34"/>
      <c r="AI165" s="34"/>
      <c r="AJ165" s="34"/>
      <c r="AK165" s="34"/>
      <c r="AL165" s="34"/>
      <c r="AM165" s="34"/>
    </row>
    <row r="166" spans="1:39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G166" s="34"/>
      <c r="AH166" s="34"/>
      <c r="AI166" s="34"/>
      <c r="AJ166" s="34"/>
      <c r="AK166" s="34"/>
      <c r="AL166" s="34"/>
      <c r="AM166" s="34"/>
    </row>
    <row r="167" spans="1:39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G167" s="34"/>
      <c r="AH167" s="34"/>
      <c r="AI167" s="34"/>
      <c r="AJ167" s="34"/>
      <c r="AK167" s="34"/>
      <c r="AL167" s="34"/>
      <c r="AM167" s="34"/>
    </row>
    <row r="168" spans="1:39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G168" s="34"/>
      <c r="AH168" s="34"/>
      <c r="AI168" s="34"/>
      <c r="AJ168" s="34"/>
      <c r="AK168" s="34"/>
      <c r="AL168" s="34"/>
      <c r="AM168" s="34"/>
    </row>
    <row r="169" spans="1:3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G169" s="34"/>
      <c r="AH169" s="34"/>
      <c r="AI169" s="34"/>
      <c r="AJ169" s="34"/>
      <c r="AK169" s="34"/>
      <c r="AL169" s="34"/>
      <c r="AM169" s="34"/>
    </row>
    <row r="170" spans="1:39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G170" s="34"/>
      <c r="AH170" s="34"/>
      <c r="AI170" s="34"/>
      <c r="AJ170" s="34"/>
      <c r="AK170" s="34"/>
      <c r="AL170" s="34"/>
      <c r="AM170" s="34"/>
    </row>
    <row r="171" spans="1:39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G171" s="34"/>
      <c r="AH171" s="34"/>
      <c r="AI171" s="34"/>
      <c r="AJ171" s="34"/>
      <c r="AK171" s="34"/>
      <c r="AL171" s="34"/>
      <c r="AM171" s="34"/>
    </row>
    <row r="172" spans="1:39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G172" s="34"/>
      <c r="AH172" s="34"/>
      <c r="AI172" s="34"/>
      <c r="AJ172" s="34"/>
      <c r="AK172" s="34"/>
      <c r="AL172" s="34"/>
      <c r="AM172" s="34"/>
    </row>
    <row r="173" spans="1:39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G173" s="34"/>
      <c r="AH173" s="34"/>
      <c r="AI173" s="34"/>
      <c r="AJ173" s="34"/>
      <c r="AK173" s="34"/>
      <c r="AL173" s="34"/>
      <c r="AM173" s="34"/>
    </row>
    <row r="174" spans="1:39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G174" s="34"/>
      <c r="AH174" s="34"/>
      <c r="AI174" s="34"/>
      <c r="AJ174" s="34"/>
      <c r="AK174" s="34"/>
      <c r="AL174" s="34"/>
      <c r="AM174" s="34"/>
    </row>
    <row r="175" spans="1:39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G175" s="34"/>
      <c r="AH175" s="34"/>
      <c r="AI175" s="34"/>
      <c r="AJ175" s="34"/>
      <c r="AK175" s="34"/>
      <c r="AL175" s="34"/>
      <c r="AM175" s="34"/>
    </row>
    <row r="176" spans="1:39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G176" s="34"/>
      <c r="AH176" s="34"/>
      <c r="AI176" s="34"/>
      <c r="AJ176" s="34"/>
      <c r="AK176" s="34"/>
      <c r="AL176" s="34"/>
      <c r="AM176" s="34"/>
    </row>
    <row r="177" spans="1:39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G177" s="34"/>
      <c r="AH177" s="34"/>
      <c r="AI177" s="34"/>
      <c r="AJ177" s="34"/>
      <c r="AK177" s="34"/>
      <c r="AL177" s="34"/>
      <c r="AM177" s="34"/>
    </row>
    <row r="178" spans="1:39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G178" s="34"/>
      <c r="AH178" s="34"/>
      <c r="AI178" s="34"/>
      <c r="AJ178" s="34"/>
      <c r="AK178" s="34"/>
      <c r="AL178" s="34"/>
      <c r="AM178" s="34"/>
    </row>
    <row r="179" spans="1:3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G179" s="34"/>
      <c r="AH179" s="34"/>
      <c r="AI179" s="34"/>
      <c r="AJ179" s="34"/>
      <c r="AK179" s="34"/>
      <c r="AL179" s="34"/>
      <c r="AM179" s="34"/>
    </row>
    <row r="180" spans="1:39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G180" s="34"/>
      <c r="AH180" s="34"/>
      <c r="AI180" s="34"/>
      <c r="AJ180" s="34"/>
      <c r="AK180" s="34"/>
      <c r="AL180" s="34"/>
      <c r="AM180" s="34"/>
    </row>
    <row r="181" spans="1:39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G181" s="34"/>
      <c r="AH181" s="34"/>
      <c r="AI181" s="34"/>
      <c r="AJ181" s="34"/>
      <c r="AK181" s="34"/>
      <c r="AL181" s="34"/>
      <c r="AM181" s="34"/>
    </row>
    <row r="182" spans="1:39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G182" s="34"/>
      <c r="AH182" s="34"/>
      <c r="AI182" s="34"/>
      <c r="AJ182" s="34"/>
      <c r="AK182" s="34"/>
      <c r="AL182" s="34"/>
      <c r="AM182" s="34"/>
    </row>
    <row r="183" spans="1:39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G183" s="34"/>
      <c r="AH183" s="34"/>
      <c r="AI183" s="34"/>
      <c r="AJ183" s="34"/>
      <c r="AK183" s="34"/>
      <c r="AL183" s="34"/>
      <c r="AM183" s="34"/>
    </row>
    <row r="184" spans="1:39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G184" s="34"/>
      <c r="AH184" s="34"/>
      <c r="AI184" s="34"/>
      <c r="AJ184" s="34"/>
      <c r="AK184" s="34"/>
      <c r="AL184" s="34"/>
      <c r="AM184" s="34"/>
    </row>
    <row r="185" spans="1:39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G185" s="34"/>
      <c r="AH185" s="34"/>
      <c r="AI185" s="34"/>
      <c r="AJ185" s="34"/>
      <c r="AK185" s="34"/>
      <c r="AL185" s="34"/>
      <c r="AM185" s="34"/>
    </row>
    <row r="186" spans="1:39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G186" s="34"/>
      <c r="AH186" s="34"/>
      <c r="AI186" s="34"/>
      <c r="AJ186" s="34"/>
      <c r="AK186" s="34"/>
      <c r="AL186" s="34"/>
      <c r="AM186" s="34"/>
    </row>
    <row r="187" spans="1:39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G187" s="34"/>
      <c r="AH187" s="34"/>
      <c r="AI187" s="34"/>
      <c r="AJ187" s="34"/>
      <c r="AK187" s="34"/>
      <c r="AL187" s="34"/>
      <c r="AM187" s="34"/>
    </row>
    <row r="188" spans="1:39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G188" s="34"/>
      <c r="AH188" s="34"/>
      <c r="AI188" s="34"/>
      <c r="AJ188" s="34"/>
      <c r="AK188" s="34"/>
      <c r="AL188" s="34"/>
      <c r="AM188" s="34"/>
    </row>
    <row r="189" spans="1:3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G189" s="34"/>
      <c r="AH189" s="34"/>
      <c r="AI189" s="34"/>
      <c r="AJ189" s="34"/>
      <c r="AK189" s="34"/>
      <c r="AL189" s="34"/>
      <c r="AM189" s="34"/>
    </row>
    <row r="190" spans="1:39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G190" s="34"/>
      <c r="AH190" s="34"/>
      <c r="AI190" s="34"/>
      <c r="AJ190" s="34"/>
      <c r="AK190" s="34"/>
      <c r="AL190" s="34"/>
      <c r="AM190" s="34"/>
    </row>
    <row r="191" spans="1:39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G191" s="34"/>
      <c r="AH191" s="34"/>
      <c r="AI191" s="34"/>
      <c r="AJ191" s="34"/>
      <c r="AK191" s="34"/>
      <c r="AL191" s="34"/>
      <c r="AM191" s="34"/>
    </row>
    <row r="192" spans="1:39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G192" s="34"/>
      <c r="AH192" s="34"/>
      <c r="AI192" s="34"/>
      <c r="AJ192" s="34"/>
      <c r="AK192" s="34"/>
      <c r="AL192" s="34"/>
      <c r="AM192" s="34"/>
    </row>
    <row r="193" spans="1:39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G193" s="34"/>
      <c r="AH193" s="34"/>
      <c r="AI193" s="34"/>
      <c r="AJ193" s="34"/>
      <c r="AK193" s="34"/>
      <c r="AL193" s="34"/>
      <c r="AM193" s="34"/>
    </row>
    <row r="194" spans="1:39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G194" s="34"/>
      <c r="AH194" s="34"/>
      <c r="AI194" s="34"/>
      <c r="AJ194" s="34"/>
      <c r="AK194" s="34"/>
      <c r="AL194" s="34"/>
      <c r="AM194" s="34"/>
    </row>
    <row r="195" spans="1:39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G195" s="34"/>
      <c r="AH195" s="34"/>
      <c r="AI195" s="34"/>
      <c r="AJ195" s="34"/>
      <c r="AK195" s="34"/>
      <c r="AL195" s="34"/>
      <c r="AM195" s="34"/>
    </row>
    <row r="196" spans="1:39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G196" s="34"/>
      <c r="AH196" s="34"/>
      <c r="AI196" s="34"/>
      <c r="AJ196" s="34"/>
      <c r="AK196" s="34"/>
      <c r="AL196" s="34"/>
      <c r="AM196" s="34"/>
    </row>
    <row r="197" spans="1:39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G197" s="34"/>
      <c r="AH197" s="34"/>
      <c r="AI197" s="34"/>
      <c r="AJ197" s="34"/>
      <c r="AK197" s="34"/>
      <c r="AL197" s="34"/>
      <c r="AM197" s="34"/>
    </row>
    <row r="198" spans="1:39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G198" s="34"/>
      <c r="AH198" s="34"/>
      <c r="AI198" s="34"/>
      <c r="AJ198" s="34"/>
      <c r="AK198" s="34"/>
      <c r="AL198" s="34"/>
      <c r="AM198" s="34"/>
    </row>
    <row r="199" spans="1:3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G199" s="34"/>
      <c r="AH199" s="34"/>
      <c r="AI199" s="34"/>
      <c r="AJ199" s="34"/>
      <c r="AK199" s="34"/>
      <c r="AL199" s="34"/>
      <c r="AM199" s="34"/>
    </row>
    <row r="200" spans="1:39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G200" s="34"/>
      <c r="AH200" s="34"/>
      <c r="AI200" s="34"/>
      <c r="AJ200" s="34"/>
      <c r="AK200" s="34"/>
      <c r="AL200" s="34"/>
      <c r="AM200" s="34"/>
    </row>
    <row r="201" spans="1:39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G201" s="34"/>
      <c r="AH201" s="34"/>
      <c r="AI201" s="34"/>
      <c r="AJ201" s="34"/>
      <c r="AK201" s="34"/>
      <c r="AL201" s="34"/>
      <c r="AM201" s="34"/>
    </row>
    <row r="202" spans="1:39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G202" s="34"/>
      <c r="AH202" s="34"/>
      <c r="AI202" s="34"/>
      <c r="AJ202" s="34"/>
      <c r="AK202" s="34"/>
      <c r="AL202" s="34"/>
      <c r="AM202" s="34"/>
    </row>
    <row r="203" spans="1:39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G203" s="34"/>
      <c r="AH203" s="34"/>
      <c r="AI203" s="34"/>
      <c r="AJ203" s="34"/>
      <c r="AK203" s="34"/>
      <c r="AL203" s="34"/>
      <c r="AM203" s="34"/>
    </row>
    <row r="204" spans="1:39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G204" s="34"/>
      <c r="AH204" s="34"/>
      <c r="AI204" s="34"/>
      <c r="AJ204" s="34"/>
      <c r="AK204" s="34"/>
      <c r="AL204" s="34"/>
      <c r="AM204" s="34"/>
    </row>
    <row r="205" spans="1:39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G205" s="34"/>
      <c r="AH205" s="34"/>
      <c r="AI205" s="34"/>
      <c r="AJ205" s="34"/>
      <c r="AK205" s="34"/>
      <c r="AL205" s="34"/>
      <c r="AM205" s="34"/>
    </row>
    <row r="206" spans="1:39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G206" s="34"/>
      <c r="AH206" s="34"/>
      <c r="AI206" s="34"/>
      <c r="AJ206" s="34"/>
      <c r="AK206" s="34"/>
      <c r="AL206" s="34"/>
      <c r="AM206" s="34"/>
    </row>
    <row r="207" spans="1:39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G207" s="34"/>
      <c r="AH207" s="34"/>
      <c r="AI207" s="34"/>
      <c r="AJ207" s="34"/>
      <c r="AK207" s="34"/>
      <c r="AL207" s="34"/>
      <c r="AM207" s="34"/>
    </row>
    <row r="208" spans="1:39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G208" s="34"/>
      <c r="AH208" s="34"/>
      <c r="AI208" s="34"/>
      <c r="AJ208" s="34"/>
      <c r="AK208" s="34"/>
      <c r="AL208" s="34"/>
      <c r="AM208" s="34"/>
    </row>
    <row r="209" spans="1:3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G209" s="34"/>
      <c r="AH209" s="34"/>
      <c r="AI209" s="34"/>
      <c r="AJ209" s="34"/>
      <c r="AK209" s="34"/>
      <c r="AL209" s="34"/>
      <c r="AM209" s="34"/>
    </row>
    <row r="210" spans="1:39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G210" s="34"/>
      <c r="AH210" s="34"/>
      <c r="AI210" s="34"/>
      <c r="AJ210" s="34"/>
      <c r="AK210" s="34"/>
      <c r="AL210" s="34"/>
      <c r="AM210" s="34"/>
    </row>
    <row r="211" spans="1:39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G211" s="34"/>
      <c r="AH211" s="34"/>
      <c r="AI211" s="34"/>
      <c r="AJ211" s="34"/>
      <c r="AK211" s="34"/>
      <c r="AL211" s="34"/>
      <c r="AM211" s="34"/>
    </row>
    <row r="212" spans="1:39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G212" s="34"/>
      <c r="AH212" s="34"/>
      <c r="AI212" s="34"/>
      <c r="AJ212" s="34"/>
      <c r="AK212" s="34"/>
      <c r="AL212" s="34"/>
      <c r="AM212" s="34"/>
    </row>
    <row r="213" spans="1:39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G213" s="34"/>
      <c r="AH213" s="34"/>
      <c r="AI213" s="34"/>
      <c r="AJ213" s="34"/>
      <c r="AK213" s="34"/>
      <c r="AL213" s="34"/>
      <c r="AM213" s="34"/>
    </row>
    <row r="214" spans="1:39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G214" s="34"/>
      <c r="AH214" s="34"/>
      <c r="AI214" s="34"/>
      <c r="AJ214" s="34"/>
      <c r="AK214" s="34"/>
      <c r="AL214" s="34"/>
      <c r="AM214" s="34"/>
    </row>
    <row r="215" spans="1:39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G215" s="34"/>
      <c r="AH215" s="34"/>
      <c r="AI215" s="34"/>
      <c r="AJ215" s="34"/>
      <c r="AK215" s="34"/>
      <c r="AL215" s="34"/>
      <c r="AM215" s="34"/>
    </row>
    <row r="216" spans="1:39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G216" s="34"/>
      <c r="AH216" s="34"/>
      <c r="AI216" s="34"/>
      <c r="AJ216" s="34"/>
      <c r="AK216" s="34"/>
      <c r="AL216" s="34"/>
      <c r="AM216" s="34"/>
    </row>
    <row r="217" spans="1:39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G217" s="34"/>
      <c r="AH217" s="34"/>
      <c r="AI217" s="34"/>
      <c r="AJ217" s="34"/>
      <c r="AK217" s="34"/>
      <c r="AL217" s="34"/>
      <c r="AM217" s="34"/>
    </row>
    <row r="218" spans="1:39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G218" s="34"/>
      <c r="AH218" s="34"/>
      <c r="AI218" s="34"/>
      <c r="AJ218" s="34"/>
      <c r="AK218" s="34"/>
      <c r="AL218" s="34"/>
      <c r="AM218" s="34"/>
    </row>
    <row r="219" spans="1:39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G219" s="34"/>
      <c r="AH219" s="34"/>
      <c r="AI219" s="34"/>
      <c r="AJ219" s="34"/>
      <c r="AK219" s="34"/>
      <c r="AL219" s="34"/>
      <c r="AM219" s="34"/>
    </row>
    <row r="220" spans="1:39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G220" s="34"/>
      <c r="AH220" s="34"/>
      <c r="AI220" s="34"/>
      <c r="AJ220" s="34"/>
      <c r="AK220" s="34"/>
      <c r="AL220" s="34"/>
      <c r="AM220" s="34"/>
    </row>
    <row r="221" spans="1:39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G221" s="34"/>
      <c r="AH221" s="34"/>
      <c r="AI221" s="34"/>
      <c r="AJ221" s="34"/>
      <c r="AK221" s="34"/>
      <c r="AL221" s="34"/>
      <c r="AM221" s="34"/>
    </row>
    <row r="222" spans="1:39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G222" s="34"/>
      <c r="AH222" s="34"/>
      <c r="AI222" s="34"/>
      <c r="AJ222" s="34"/>
      <c r="AK222" s="34"/>
      <c r="AL222" s="34"/>
      <c r="AM222" s="34"/>
    </row>
    <row r="223" spans="1:39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G223" s="34"/>
      <c r="AH223" s="34"/>
      <c r="AI223" s="34"/>
      <c r="AJ223" s="34"/>
      <c r="AK223" s="34"/>
      <c r="AL223" s="34"/>
      <c r="AM223" s="34"/>
    </row>
    <row r="224" spans="1:39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G224" s="34"/>
      <c r="AH224" s="34"/>
      <c r="AI224" s="34"/>
      <c r="AJ224" s="34"/>
      <c r="AK224" s="34"/>
      <c r="AL224" s="34"/>
      <c r="AM224" s="34"/>
    </row>
    <row r="225" spans="1:39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G225" s="34"/>
      <c r="AH225" s="34"/>
      <c r="AI225" s="34"/>
      <c r="AJ225" s="34"/>
      <c r="AK225" s="34"/>
      <c r="AL225" s="34"/>
      <c r="AM225" s="34"/>
    </row>
    <row r="226" spans="1:39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G226" s="34"/>
      <c r="AH226" s="34"/>
      <c r="AI226" s="34"/>
      <c r="AJ226" s="34"/>
      <c r="AK226" s="34"/>
      <c r="AL226" s="34"/>
      <c r="AM226" s="34"/>
    </row>
    <row r="227" spans="1:39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G227" s="34"/>
      <c r="AH227" s="34"/>
      <c r="AI227" s="34"/>
      <c r="AJ227" s="34"/>
      <c r="AK227" s="34"/>
      <c r="AL227" s="34"/>
      <c r="AM227" s="34"/>
    </row>
    <row r="228" spans="1:39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G228" s="34"/>
      <c r="AH228" s="34"/>
      <c r="AI228" s="34"/>
      <c r="AJ228" s="34"/>
      <c r="AK228" s="34"/>
      <c r="AL228" s="34"/>
      <c r="AM228" s="34"/>
    </row>
    <row r="229" spans="1:39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G229" s="34"/>
      <c r="AH229" s="34"/>
      <c r="AI229" s="34"/>
      <c r="AJ229" s="34"/>
      <c r="AK229" s="34"/>
      <c r="AL229" s="34"/>
      <c r="AM229" s="34"/>
    </row>
    <row r="230" spans="1:39" ht="12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G230" s="34"/>
      <c r="AH230" s="34"/>
      <c r="AI230" s="34"/>
      <c r="AJ230" s="34"/>
      <c r="AK230" s="34"/>
      <c r="AL230" s="34"/>
      <c r="AM230" s="34"/>
    </row>
    <row r="231" spans="1:39" ht="12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G231" s="34"/>
      <c r="AH231" s="34"/>
      <c r="AI231" s="34"/>
      <c r="AJ231" s="34"/>
      <c r="AK231" s="34"/>
      <c r="AL231" s="34"/>
      <c r="AM231" s="34"/>
    </row>
    <row r="232" spans="1:39" ht="12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G232" s="34"/>
      <c r="AH232" s="34"/>
      <c r="AI232" s="34"/>
      <c r="AJ232" s="34"/>
      <c r="AK232" s="34"/>
      <c r="AL232" s="34"/>
      <c r="AM232" s="34"/>
    </row>
    <row r="233" spans="1:39" ht="12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G233" s="34"/>
      <c r="AH233" s="34"/>
      <c r="AI233" s="34"/>
      <c r="AJ233" s="34"/>
      <c r="AK233" s="34"/>
      <c r="AL233" s="34"/>
      <c r="AM233" s="34"/>
    </row>
    <row r="234" spans="1:39" ht="12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G234" s="34"/>
      <c r="AH234" s="34"/>
      <c r="AI234" s="34"/>
      <c r="AJ234" s="34"/>
      <c r="AK234" s="34"/>
      <c r="AL234" s="34"/>
      <c r="AM234" s="34"/>
    </row>
    <row r="235" spans="1:39" ht="12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G235" s="34"/>
      <c r="AH235" s="34"/>
      <c r="AI235" s="34"/>
      <c r="AJ235" s="34"/>
      <c r="AK235" s="34"/>
      <c r="AL235" s="34"/>
      <c r="AM235" s="34"/>
    </row>
    <row r="236" spans="1:39" ht="12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G236" s="34"/>
      <c r="AH236" s="34"/>
      <c r="AI236" s="34"/>
      <c r="AJ236" s="34"/>
      <c r="AK236" s="34"/>
      <c r="AL236" s="34"/>
      <c r="AM236" s="34"/>
    </row>
    <row r="237" spans="1:39" ht="12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G237" s="34"/>
      <c r="AH237" s="34"/>
      <c r="AI237" s="34"/>
      <c r="AJ237" s="34"/>
      <c r="AK237" s="34"/>
      <c r="AL237" s="34"/>
      <c r="AM237" s="34"/>
    </row>
    <row r="238" spans="1:39" ht="12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G238" s="34"/>
      <c r="AH238" s="34"/>
      <c r="AI238" s="34"/>
      <c r="AJ238" s="34"/>
      <c r="AK238" s="34"/>
      <c r="AL238" s="34"/>
      <c r="AM238" s="34"/>
    </row>
    <row r="239" spans="1:39" ht="12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G239" s="34"/>
      <c r="AH239" s="34"/>
      <c r="AI239" s="34"/>
      <c r="AJ239" s="34"/>
      <c r="AK239" s="34"/>
      <c r="AL239" s="34"/>
      <c r="AM239" s="34"/>
    </row>
    <row r="240" spans="1:39" ht="12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G240" s="34"/>
      <c r="AH240" s="34"/>
      <c r="AI240" s="34"/>
      <c r="AJ240" s="34"/>
      <c r="AK240" s="34"/>
      <c r="AL240" s="34"/>
      <c r="AM240" s="34"/>
    </row>
    <row r="241" spans="1:39" ht="12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G241" s="34"/>
      <c r="AH241" s="34"/>
      <c r="AI241" s="34"/>
      <c r="AJ241" s="34"/>
      <c r="AK241" s="34"/>
      <c r="AL241" s="34"/>
      <c r="AM241" s="34"/>
    </row>
    <row r="242" spans="1:39" ht="12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G242" s="34"/>
      <c r="AH242" s="34"/>
      <c r="AI242" s="34"/>
      <c r="AJ242" s="34"/>
      <c r="AK242" s="34"/>
      <c r="AL242" s="34"/>
      <c r="AM242" s="34"/>
    </row>
    <row r="243" spans="1:39" ht="12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G243" s="34"/>
      <c r="AH243" s="34"/>
      <c r="AI243" s="34"/>
      <c r="AJ243" s="34"/>
      <c r="AK243" s="34"/>
      <c r="AL243" s="34"/>
      <c r="AM243" s="34"/>
    </row>
    <row r="244" spans="1:39" ht="12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G244" s="34"/>
      <c r="AH244" s="34"/>
      <c r="AI244" s="34"/>
      <c r="AJ244" s="34"/>
      <c r="AK244" s="34"/>
      <c r="AL244" s="34"/>
      <c r="AM244" s="34"/>
    </row>
    <row r="245" spans="1:39" ht="12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G245" s="34"/>
      <c r="AH245" s="34"/>
      <c r="AI245" s="34"/>
      <c r="AJ245" s="34"/>
      <c r="AK245" s="34"/>
      <c r="AL245" s="34"/>
      <c r="AM245" s="34"/>
    </row>
    <row r="246" spans="1:39" ht="12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G246" s="34"/>
      <c r="AH246" s="34"/>
      <c r="AI246" s="34"/>
      <c r="AJ246" s="34"/>
      <c r="AK246" s="34"/>
      <c r="AL246" s="34"/>
      <c r="AM246" s="34"/>
    </row>
    <row r="247" spans="1:39" ht="12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G247" s="34"/>
      <c r="AH247" s="34"/>
      <c r="AI247" s="34"/>
      <c r="AJ247" s="34"/>
      <c r="AK247" s="34"/>
      <c r="AL247" s="34"/>
      <c r="AM247" s="34"/>
    </row>
    <row r="248" spans="1:39" ht="12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G248" s="34"/>
      <c r="AH248" s="34"/>
      <c r="AI248" s="34"/>
      <c r="AJ248" s="34"/>
      <c r="AK248" s="34"/>
      <c r="AL248" s="34"/>
      <c r="AM248" s="34"/>
    </row>
    <row r="249" spans="1:39" ht="12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G249" s="34"/>
      <c r="AH249" s="34"/>
      <c r="AI249" s="34"/>
      <c r="AJ249" s="34"/>
      <c r="AK249" s="34"/>
      <c r="AL249" s="34"/>
      <c r="AM249" s="34"/>
    </row>
    <row r="250" spans="1:39" ht="12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G250" s="34"/>
      <c r="AH250" s="34"/>
      <c r="AI250" s="34"/>
      <c r="AJ250" s="34"/>
      <c r="AK250" s="34"/>
      <c r="AL250" s="34"/>
      <c r="AM250" s="34"/>
    </row>
    <row r="251" spans="1:39" ht="12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G251" s="34"/>
      <c r="AH251" s="34"/>
      <c r="AI251" s="34"/>
      <c r="AJ251" s="34"/>
      <c r="AK251" s="34"/>
      <c r="AL251" s="34"/>
      <c r="AM251" s="34"/>
    </row>
    <row r="252" spans="1:39" ht="12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G252" s="34"/>
      <c r="AH252" s="34"/>
      <c r="AI252" s="34"/>
      <c r="AJ252" s="34"/>
      <c r="AK252" s="34"/>
      <c r="AL252" s="34"/>
      <c r="AM252" s="34"/>
    </row>
    <row r="253" spans="1:39" ht="12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G253" s="34"/>
      <c r="AH253" s="34"/>
      <c r="AI253" s="34"/>
      <c r="AJ253" s="34"/>
      <c r="AK253" s="34"/>
      <c r="AL253" s="34"/>
      <c r="AM253" s="34"/>
    </row>
    <row r="254" spans="1:39" ht="12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G254" s="34"/>
      <c r="AH254" s="34"/>
      <c r="AI254" s="34"/>
      <c r="AJ254" s="34"/>
      <c r="AK254" s="34"/>
      <c r="AL254" s="34"/>
      <c r="AM254" s="34"/>
    </row>
    <row r="255" spans="1:39" ht="12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G255" s="34"/>
      <c r="AH255" s="34"/>
      <c r="AI255" s="34"/>
      <c r="AJ255" s="34"/>
      <c r="AK255" s="34"/>
      <c r="AL255" s="34"/>
      <c r="AM255" s="34"/>
    </row>
    <row r="256" spans="1:39" ht="12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G256" s="34"/>
      <c r="AH256" s="34"/>
      <c r="AI256" s="34"/>
      <c r="AJ256" s="34"/>
      <c r="AK256" s="34"/>
      <c r="AL256" s="34"/>
      <c r="AM256" s="34"/>
    </row>
    <row r="257" spans="1:39" ht="12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G257" s="34"/>
      <c r="AH257" s="34"/>
      <c r="AI257" s="34"/>
      <c r="AJ257" s="34"/>
      <c r="AK257" s="34"/>
      <c r="AL257" s="34"/>
      <c r="AM257" s="34"/>
    </row>
    <row r="258" spans="1:39" ht="12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G258" s="34"/>
      <c r="AH258" s="34"/>
      <c r="AI258" s="34"/>
      <c r="AJ258" s="34"/>
      <c r="AK258" s="34"/>
      <c r="AL258" s="34"/>
      <c r="AM258" s="34"/>
    </row>
    <row r="259" spans="1:39" ht="12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G259" s="34"/>
      <c r="AH259" s="34"/>
      <c r="AI259" s="34"/>
      <c r="AJ259" s="34"/>
      <c r="AK259" s="34"/>
      <c r="AL259" s="34"/>
      <c r="AM259" s="34"/>
    </row>
    <row r="260" spans="1:39" ht="12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G260" s="34"/>
      <c r="AH260" s="34"/>
      <c r="AI260" s="34"/>
      <c r="AJ260" s="34"/>
      <c r="AK260" s="34"/>
      <c r="AL260" s="34"/>
      <c r="AM260" s="34"/>
    </row>
    <row r="261" spans="1:39" ht="12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G261" s="34"/>
      <c r="AH261" s="34"/>
      <c r="AI261" s="34"/>
      <c r="AJ261" s="34"/>
      <c r="AK261" s="34"/>
      <c r="AL261" s="34"/>
      <c r="AM261" s="34"/>
    </row>
    <row r="262" spans="1:39" ht="12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G262" s="34"/>
      <c r="AH262" s="34"/>
      <c r="AI262" s="34"/>
      <c r="AJ262" s="34"/>
      <c r="AK262" s="34"/>
      <c r="AL262" s="34"/>
      <c r="AM262" s="34"/>
    </row>
    <row r="263" spans="1:39" ht="12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G263" s="34"/>
      <c r="AH263" s="34"/>
      <c r="AI263" s="34"/>
      <c r="AJ263" s="34"/>
      <c r="AK263" s="34"/>
      <c r="AL263" s="34"/>
      <c r="AM263" s="34"/>
    </row>
    <row r="264" spans="1:39" ht="12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G264" s="34"/>
      <c r="AH264" s="34"/>
      <c r="AI264" s="34"/>
      <c r="AJ264" s="34"/>
      <c r="AK264" s="34"/>
      <c r="AL264" s="34"/>
      <c r="AM264" s="34"/>
    </row>
    <row r="265" spans="1:39" ht="12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G265" s="34"/>
      <c r="AH265" s="34"/>
      <c r="AI265" s="34"/>
      <c r="AJ265" s="34"/>
      <c r="AK265" s="34"/>
      <c r="AL265" s="34"/>
      <c r="AM265" s="34"/>
    </row>
    <row r="266" spans="1:39" ht="12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G266" s="34"/>
      <c r="AH266" s="34"/>
      <c r="AI266" s="34"/>
      <c r="AJ266" s="34"/>
      <c r="AK266" s="34"/>
      <c r="AL266" s="34"/>
      <c r="AM266" s="34"/>
    </row>
    <row r="267" spans="1:39" ht="12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G267" s="34"/>
      <c r="AH267" s="34"/>
      <c r="AI267" s="34"/>
      <c r="AJ267" s="34"/>
      <c r="AK267" s="34"/>
      <c r="AL267" s="34"/>
      <c r="AM267" s="34"/>
    </row>
    <row r="268" spans="1:39" ht="12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G268" s="34"/>
      <c r="AH268" s="34"/>
      <c r="AI268" s="34"/>
      <c r="AJ268" s="34"/>
      <c r="AK268" s="34"/>
      <c r="AL268" s="34"/>
      <c r="AM268" s="34"/>
    </row>
    <row r="269" spans="1:39" ht="12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G269" s="34"/>
      <c r="AH269" s="34"/>
      <c r="AI269" s="34"/>
      <c r="AJ269" s="34"/>
      <c r="AK269" s="34"/>
      <c r="AL269" s="34"/>
      <c r="AM269" s="34"/>
    </row>
    <row r="270" spans="1:39" ht="12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G270" s="34"/>
      <c r="AH270" s="34"/>
      <c r="AI270" s="34"/>
      <c r="AJ270" s="34"/>
      <c r="AK270" s="34"/>
      <c r="AL270" s="34"/>
      <c r="AM270" s="34"/>
    </row>
    <row r="271" spans="1:39" ht="12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G271" s="34"/>
      <c r="AH271" s="34"/>
      <c r="AI271" s="34"/>
      <c r="AJ271" s="34"/>
      <c r="AK271" s="34"/>
      <c r="AL271" s="34"/>
      <c r="AM271" s="34"/>
    </row>
    <row r="272" spans="1:39" ht="12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G272" s="34"/>
      <c r="AH272" s="34"/>
      <c r="AI272" s="34"/>
      <c r="AJ272" s="34"/>
      <c r="AK272" s="34"/>
      <c r="AL272" s="34"/>
      <c r="AM272" s="34"/>
    </row>
    <row r="273" spans="1:39" ht="12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G273" s="34"/>
      <c r="AH273" s="34"/>
      <c r="AI273" s="34"/>
      <c r="AJ273" s="34"/>
      <c r="AK273" s="34"/>
      <c r="AL273" s="34"/>
      <c r="AM273" s="34"/>
    </row>
    <row r="274" spans="1:39" ht="12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G274" s="34"/>
      <c r="AH274" s="34"/>
      <c r="AI274" s="34"/>
      <c r="AJ274" s="34"/>
      <c r="AK274" s="34"/>
      <c r="AL274" s="34"/>
      <c r="AM274" s="34"/>
    </row>
    <row r="275" spans="1:39" ht="12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G275" s="34"/>
      <c r="AH275" s="34"/>
      <c r="AI275" s="34"/>
      <c r="AJ275" s="34"/>
      <c r="AK275" s="34"/>
      <c r="AL275" s="34"/>
      <c r="AM275" s="34"/>
    </row>
    <row r="276" spans="1:39" ht="12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G276" s="34"/>
      <c r="AH276" s="34"/>
      <c r="AI276" s="34"/>
      <c r="AJ276" s="34"/>
      <c r="AK276" s="34"/>
      <c r="AL276" s="34"/>
      <c r="AM276" s="34"/>
    </row>
    <row r="277" spans="1:39" ht="12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G277" s="34"/>
      <c r="AH277" s="34"/>
      <c r="AI277" s="34"/>
      <c r="AJ277" s="34"/>
      <c r="AK277" s="34"/>
      <c r="AL277" s="34"/>
      <c r="AM277" s="34"/>
    </row>
    <row r="278" spans="1:39" ht="12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G278" s="34"/>
      <c r="AH278" s="34"/>
      <c r="AI278" s="34"/>
      <c r="AJ278" s="34"/>
      <c r="AK278" s="34"/>
      <c r="AL278" s="34"/>
      <c r="AM278" s="34"/>
    </row>
    <row r="279" spans="1:39" ht="12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G279" s="34"/>
      <c r="AH279" s="34"/>
      <c r="AI279" s="34"/>
      <c r="AJ279" s="34"/>
      <c r="AK279" s="34"/>
      <c r="AL279" s="34"/>
      <c r="AM279" s="34"/>
    </row>
    <row r="280" spans="1:39" ht="12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G280" s="34"/>
      <c r="AH280" s="34"/>
      <c r="AI280" s="34"/>
      <c r="AJ280" s="34"/>
      <c r="AK280" s="34"/>
      <c r="AL280" s="34"/>
      <c r="AM280" s="34"/>
    </row>
    <row r="281" spans="1:39" ht="12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G281" s="34"/>
      <c r="AH281" s="34"/>
      <c r="AI281" s="34"/>
      <c r="AJ281" s="34"/>
      <c r="AK281" s="34"/>
      <c r="AL281" s="34"/>
      <c r="AM281" s="34"/>
    </row>
    <row r="282" spans="1:39" ht="12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G282" s="34"/>
      <c r="AH282" s="34"/>
      <c r="AI282" s="34"/>
      <c r="AJ282" s="34"/>
      <c r="AK282" s="34"/>
      <c r="AL282" s="34"/>
      <c r="AM282" s="34"/>
    </row>
    <row r="283" spans="1:39" ht="12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G283" s="34"/>
      <c r="AH283" s="34"/>
      <c r="AI283" s="34"/>
      <c r="AJ283" s="34"/>
      <c r="AK283" s="34"/>
      <c r="AL283" s="34"/>
      <c r="AM283" s="34"/>
    </row>
    <row r="284" spans="1:39" ht="12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G284" s="34"/>
      <c r="AH284" s="34"/>
      <c r="AI284" s="34"/>
      <c r="AJ284" s="34"/>
      <c r="AK284" s="34"/>
      <c r="AL284" s="34"/>
      <c r="AM284" s="34"/>
    </row>
    <row r="285" spans="1:39" ht="12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G285" s="34"/>
      <c r="AH285" s="34"/>
      <c r="AI285" s="34"/>
      <c r="AJ285" s="34"/>
      <c r="AK285" s="34"/>
      <c r="AL285" s="34"/>
      <c r="AM285" s="34"/>
    </row>
    <row r="286" spans="1:39" ht="12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G286" s="34"/>
      <c r="AH286" s="34"/>
      <c r="AI286" s="34"/>
      <c r="AJ286" s="34"/>
      <c r="AK286" s="34"/>
      <c r="AL286" s="34"/>
      <c r="AM286" s="34"/>
    </row>
    <row r="287" spans="1:39" ht="12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G287" s="34"/>
      <c r="AH287" s="34"/>
      <c r="AI287" s="34"/>
      <c r="AJ287" s="34"/>
      <c r="AK287" s="34"/>
      <c r="AL287" s="34"/>
      <c r="AM287" s="34"/>
    </row>
    <row r="288" spans="1:39" ht="12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G288" s="34"/>
      <c r="AH288" s="34"/>
      <c r="AI288" s="34"/>
      <c r="AJ288" s="34"/>
      <c r="AK288" s="34"/>
      <c r="AL288" s="34"/>
      <c r="AM288" s="34"/>
    </row>
    <row r="289" spans="1:39" ht="12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G289" s="34"/>
      <c r="AH289" s="34"/>
      <c r="AI289" s="34"/>
      <c r="AJ289" s="34"/>
      <c r="AK289" s="34"/>
      <c r="AL289" s="34"/>
      <c r="AM289" s="34"/>
    </row>
    <row r="290" spans="1:39" ht="12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G290" s="34"/>
      <c r="AH290" s="34"/>
      <c r="AI290" s="34"/>
      <c r="AJ290" s="34"/>
      <c r="AK290" s="34"/>
      <c r="AL290" s="34"/>
      <c r="AM290" s="34"/>
    </row>
    <row r="291" spans="1:39" ht="12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G291" s="34"/>
      <c r="AH291" s="34"/>
      <c r="AI291" s="34"/>
      <c r="AJ291" s="34"/>
      <c r="AK291" s="34"/>
      <c r="AL291" s="34"/>
      <c r="AM291" s="34"/>
    </row>
    <row r="292" spans="1:39" ht="12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G292" s="34"/>
      <c r="AH292" s="34"/>
      <c r="AI292" s="34"/>
      <c r="AJ292" s="34"/>
      <c r="AK292" s="34"/>
      <c r="AL292" s="34"/>
      <c r="AM292" s="34"/>
    </row>
    <row r="293" spans="1:39" ht="12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G293" s="34"/>
      <c r="AH293" s="34"/>
      <c r="AI293" s="34"/>
      <c r="AJ293" s="34"/>
      <c r="AK293" s="34"/>
      <c r="AL293" s="34"/>
      <c r="AM293" s="34"/>
    </row>
    <row r="294" spans="1:39" ht="12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G294" s="34"/>
      <c r="AH294" s="34"/>
      <c r="AI294" s="34"/>
      <c r="AJ294" s="34"/>
      <c r="AK294" s="34"/>
      <c r="AL294" s="34"/>
      <c r="AM294" s="34"/>
    </row>
    <row r="295" spans="1:39" ht="12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G295" s="34"/>
      <c r="AH295" s="34"/>
      <c r="AI295" s="34"/>
      <c r="AJ295" s="34"/>
      <c r="AK295" s="34"/>
      <c r="AL295" s="34"/>
      <c r="AM295" s="34"/>
    </row>
    <row r="296" spans="1:39" ht="12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G296" s="34"/>
      <c r="AH296" s="34"/>
      <c r="AI296" s="34"/>
      <c r="AJ296" s="34"/>
      <c r="AK296" s="34"/>
      <c r="AL296" s="34"/>
      <c r="AM296" s="34"/>
    </row>
    <row r="297" spans="1:39" ht="12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G297" s="34"/>
      <c r="AH297" s="34"/>
      <c r="AI297" s="34"/>
      <c r="AJ297" s="34"/>
      <c r="AK297" s="34"/>
      <c r="AL297" s="34"/>
      <c r="AM297" s="34"/>
    </row>
    <row r="298" spans="1:39" ht="12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G298" s="34"/>
      <c r="AH298" s="34"/>
      <c r="AI298" s="34"/>
      <c r="AJ298" s="34"/>
      <c r="AK298" s="34"/>
      <c r="AL298" s="34"/>
      <c r="AM298" s="34"/>
    </row>
    <row r="299" spans="1:39" ht="12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G299" s="34"/>
      <c r="AH299" s="34"/>
      <c r="AI299" s="34"/>
      <c r="AJ299" s="34"/>
      <c r="AK299" s="34"/>
      <c r="AL299" s="34"/>
      <c r="AM299" s="34"/>
    </row>
    <row r="300" spans="1:39" ht="12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G300" s="34"/>
      <c r="AH300" s="34"/>
      <c r="AI300" s="34"/>
      <c r="AJ300" s="34"/>
      <c r="AK300" s="34"/>
      <c r="AL300" s="34"/>
      <c r="AM300" s="34"/>
    </row>
    <row r="301" spans="1:39" ht="12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G301" s="34"/>
      <c r="AH301" s="34"/>
      <c r="AI301" s="34"/>
      <c r="AJ301" s="34"/>
      <c r="AK301" s="34"/>
      <c r="AL301" s="34"/>
      <c r="AM301" s="34"/>
    </row>
    <row r="302" spans="1:39" ht="12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G302" s="34"/>
      <c r="AH302" s="34"/>
      <c r="AI302" s="34"/>
      <c r="AJ302" s="34"/>
      <c r="AK302" s="34"/>
      <c r="AL302" s="34"/>
      <c r="AM302" s="34"/>
    </row>
    <row r="303" spans="1:39" ht="12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G303" s="34"/>
      <c r="AH303" s="34"/>
      <c r="AI303" s="34"/>
      <c r="AJ303" s="34"/>
      <c r="AK303" s="34"/>
      <c r="AL303" s="34"/>
      <c r="AM303" s="34"/>
    </row>
    <row r="304" spans="1:39" ht="12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G304" s="34"/>
      <c r="AH304" s="34"/>
      <c r="AI304" s="34"/>
      <c r="AJ304" s="34"/>
      <c r="AK304" s="34"/>
      <c r="AL304" s="34"/>
      <c r="AM304" s="34"/>
    </row>
    <row r="305" spans="1:39" ht="12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G305" s="34"/>
      <c r="AH305" s="34"/>
      <c r="AI305" s="34"/>
      <c r="AJ305" s="34"/>
      <c r="AK305" s="34"/>
      <c r="AL305" s="34"/>
      <c r="AM305" s="34"/>
    </row>
    <row r="306" spans="1:39" ht="12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G306" s="34"/>
      <c r="AH306" s="34"/>
      <c r="AI306" s="34"/>
      <c r="AJ306" s="34"/>
      <c r="AK306" s="34"/>
      <c r="AL306" s="34"/>
      <c r="AM306" s="34"/>
    </row>
    <row r="307" spans="1:39" ht="12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G307" s="34"/>
      <c r="AH307" s="34"/>
      <c r="AI307" s="34"/>
      <c r="AJ307" s="34"/>
      <c r="AK307" s="34"/>
      <c r="AL307" s="34"/>
      <c r="AM307" s="34"/>
    </row>
    <row r="308" spans="1:39" ht="12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G308" s="34"/>
      <c r="AH308" s="34"/>
      <c r="AI308" s="34"/>
      <c r="AJ308" s="34"/>
      <c r="AK308" s="34"/>
      <c r="AL308" s="34"/>
      <c r="AM308" s="34"/>
    </row>
    <row r="309" spans="1:39" ht="12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G309" s="34"/>
      <c r="AH309" s="34"/>
      <c r="AI309" s="34"/>
      <c r="AJ309" s="34"/>
      <c r="AK309" s="34"/>
      <c r="AL309" s="34"/>
      <c r="AM309" s="34"/>
    </row>
    <row r="310" spans="1:39" ht="12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G310" s="34"/>
      <c r="AH310" s="34"/>
      <c r="AI310" s="34"/>
      <c r="AJ310" s="34"/>
      <c r="AK310" s="34"/>
      <c r="AL310" s="34"/>
      <c r="AM310" s="34"/>
    </row>
    <row r="311" spans="1:39" ht="12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G311" s="34"/>
      <c r="AH311" s="34"/>
      <c r="AI311" s="34"/>
      <c r="AJ311" s="34"/>
      <c r="AK311" s="34"/>
      <c r="AL311" s="34"/>
      <c r="AM311" s="34"/>
    </row>
    <row r="312" spans="1:39" ht="12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G312" s="34"/>
      <c r="AH312" s="34"/>
      <c r="AI312" s="34"/>
      <c r="AJ312" s="34"/>
      <c r="AK312" s="34"/>
      <c r="AL312" s="34"/>
      <c r="AM312" s="34"/>
    </row>
    <row r="313" spans="1:39" ht="12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G313" s="34"/>
      <c r="AH313" s="34"/>
      <c r="AI313" s="34"/>
      <c r="AJ313" s="34"/>
      <c r="AK313" s="34"/>
      <c r="AL313" s="34"/>
      <c r="AM313" s="34"/>
    </row>
    <row r="314" spans="1:39" ht="12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G314" s="34"/>
      <c r="AH314" s="34"/>
      <c r="AI314" s="34"/>
      <c r="AJ314" s="34"/>
      <c r="AK314" s="34"/>
      <c r="AL314" s="34"/>
      <c r="AM314" s="34"/>
    </row>
    <row r="315" spans="1:39" ht="12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G315" s="34"/>
      <c r="AH315" s="34"/>
      <c r="AI315" s="34"/>
      <c r="AJ315" s="34"/>
      <c r="AK315" s="34"/>
      <c r="AL315" s="34"/>
      <c r="AM315" s="34"/>
    </row>
    <row r="316" spans="1:39" ht="12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G316" s="34"/>
      <c r="AH316" s="34"/>
      <c r="AI316" s="34"/>
      <c r="AJ316" s="34"/>
      <c r="AK316" s="34"/>
      <c r="AL316" s="34"/>
      <c r="AM316" s="34"/>
    </row>
    <row r="317" spans="1:39" ht="12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G317" s="34"/>
      <c r="AH317" s="34"/>
      <c r="AI317" s="34"/>
      <c r="AJ317" s="34"/>
      <c r="AK317" s="34"/>
      <c r="AL317" s="34"/>
      <c r="AM317" s="34"/>
    </row>
    <row r="318" spans="1:39" ht="12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G318" s="34"/>
      <c r="AH318" s="34"/>
      <c r="AI318" s="34"/>
      <c r="AJ318" s="34"/>
      <c r="AK318" s="34"/>
      <c r="AL318" s="34"/>
      <c r="AM318" s="34"/>
    </row>
    <row r="319" spans="1:39" ht="12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G319" s="34"/>
      <c r="AH319" s="34"/>
      <c r="AI319" s="34"/>
      <c r="AJ319" s="34"/>
      <c r="AK319" s="34"/>
      <c r="AL319" s="34"/>
      <c r="AM319" s="34"/>
    </row>
    <row r="320" spans="1:39" ht="12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G320" s="34"/>
      <c r="AH320" s="34"/>
      <c r="AI320" s="34"/>
      <c r="AJ320" s="34"/>
      <c r="AK320" s="34"/>
      <c r="AL320" s="34"/>
      <c r="AM320" s="34"/>
    </row>
    <row r="321" spans="1:39" ht="12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G321" s="34"/>
      <c r="AH321" s="34"/>
      <c r="AI321" s="34"/>
      <c r="AJ321" s="34"/>
      <c r="AK321" s="34"/>
      <c r="AL321" s="34"/>
      <c r="AM321" s="34"/>
    </row>
    <row r="322" spans="1:39" ht="12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G322" s="34"/>
      <c r="AH322" s="34"/>
      <c r="AI322" s="34"/>
      <c r="AJ322" s="34"/>
      <c r="AK322" s="34"/>
      <c r="AL322" s="34"/>
      <c r="AM322" s="34"/>
    </row>
    <row r="323" spans="1:39" ht="12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G323" s="34"/>
      <c r="AH323" s="34"/>
      <c r="AI323" s="34"/>
      <c r="AJ323" s="34"/>
      <c r="AK323" s="34"/>
      <c r="AL323" s="34"/>
      <c r="AM323" s="34"/>
    </row>
    <row r="324" spans="1:39" ht="12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G324" s="34"/>
      <c r="AH324" s="34"/>
      <c r="AI324" s="34"/>
      <c r="AJ324" s="34"/>
      <c r="AK324" s="34"/>
      <c r="AL324" s="34"/>
      <c r="AM324" s="34"/>
    </row>
    <row r="325" spans="1:39" ht="12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G325" s="34"/>
      <c r="AH325" s="34"/>
      <c r="AI325" s="34"/>
      <c r="AJ325" s="34"/>
      <c r="AK325" s="34"/>
      <c r="AL325" s="34"/>
      <c r="AM325" s="34"/>
    </row>
    <row r="326" spans="1:39" ht="12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G326" s="34"/>
      <c r="AH326" s="34"/>
      <c r="AI326" s="34"/>
      <c r="AJ326" s="34"/>
      <c r="AK326" s="34"/>
      <c r="AL326" s="34"/>
      <c r="AM326" s="34"/>
    </row>
    <row r="327" spans="1:39" ht="12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G327" s="34"/>
      <c r="AH327" s="34"/>
      <c r="AI327" s="34"/>
      <c r="AJ327" s="34"/>
      <c r="AK327" s="34"/>
      <c r="AL327" s="34"/>
      <c r="AM327" s="34"/>
    </row>
    <row r="328" spans="1:39" ht="12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G328" s="34"/>
      <c r="AH328" s="34"/>
      <c r="AI328" s="34"/>
      <c r="AJ328" s="34"/>
      <c r="AK328" s="34"/>
      <c r="AL328" s="34"/>
      <c r="AM328" s="34"/>
    </row>
    <row r="329" spans="1:39" ht="12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G329" s="34"/>
      <c r="AH329" s="34"/>
      <c r="AI329" s="34"/>
      <c r="AJ329" s="34"/>
      <c r="AK329" s="34"/>
      <c r="AL329" s="34"/>
      <c r="AM329" s="34"/>
    </row>
    <row r="330" spans="1:39" ht="12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G330" s="34"/>
      <c r="AH330" s="34"/>
      <c r="AI330" s="34"/>
      <c r="AJ330" s="34"/>
      <c r="AK330" s="34"/>
      <c r="AL330" s="34"/>
      <c r="AM330" s="34"/>
    </row>
    <row r="331" spans="1:39" ht="12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G331" s="34"/>
      <c r="AH331" s="34"/>
      <c r="AI331" s="34"/>
      <c r="AJ331" s="34"/>
      <c r="AK331" s="34"/>
      <c r="AL331" s="34"/>
      <c r="AM331" s="34"/>
    </row>
    <row r="332" spans="1:39" ht="12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G332" s="34"/>
      <c r="AH332" s="34"/>
      <c r="AI332" s="34"/>
      <c r="AJ332" s="34"/>
      <c r="AK332" s="34"/>
      <c r="AL332" s="34"/>
      <c r="AM332" s="34"/>
    </row>
    <row r="333" spans="1:39" ht="12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G333" s="34"/>
      <c r="AH333" s="34"/>
      <c r="AI333" s="34"/>
      <c r="AJ333" s="34"/>
      <c r="AK333" s="34"/>
      <c r="AL333" s="34"/>
      <c r="AM333" s="34"/>
    </row>
    <row r="334" spans="1:39" ht="12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G334" s="34"/>
      <c r="AH334" s="34"/>
      <c r="AI334" s="34"/>
      <c r="AJ334" s="34"/>
      <c r="AK334" s="34"/>
      <c r="AL334" s="34"/>
      <c r="AM334" s="34"/>
    </row>
    <row r="335" spans="1:39" ht="12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G335" s="34"/>
      <c r="AH335" s="34"/>
      <c r="AI335" s="34"/>
      <c r="AJ335" s="34"/>
      <c r="AK335" s="34"/>
      <c r="AL335" s="34"/>
      <c r="AM335" s="34"/>
    </row>
    <row r="336" spans="1:39" ht="12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G336" s="34"/>
      <c r="AH336" s="34"/>
      <c r="AI336" s="34"/>
      <c r="AJ336" s="34"/>
      <c r="AK336" s="34"/>
      <c r="AL336" s="34"/>
      <c r="AM336" s="34"/>
    </row>
    <row r="337" spans="1:39" ht="12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G337" s="34"/>
      <c r="AH337" s="34"/>
      <c r="AI337" s="34"/>
      <c r="AJ337" s="34"/>
      <c r="AK337" s="34"/>
      <c r="AL337" s="34"/>
      <c r="AM337" s="34"/>
    </row>
    <row r="338" spans="1:39" ht="12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G338" s="34"/>
      <c r="AH338" s="34"/>
      <c r="AI338" s="34"/>
      <c r="AJ338" s="34"/>
      <c r="AK338" s="34"/>
      <c r="AL338" s="34"/>
      <c r="AM338" s="34"/>
    </row>
    <row r="339" spans="1:39" ht="12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G339" s="34"/>
      <c r="AH339" s="34"/>
      <c r="AI339" s="34"/>
      <c r="AJ339" s="34"/>
      <c r="AK339" s="34"/>
      <c r="AL339" s="34"/>
      <c r="AM339" s="34"/>
    </row>
    <row r="340" spans="1:39" ht="12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G340" s="34"/>
      <c r="AH340" s="34"/>
      <c r="AI340" s="34"/>
      <c r="AJ340" s="34"/>
      <c r="AK340" s="34"/>
      <c r="AL340" s="34"/>
      <c r="AM340" s="34"/>
    </row>
    <row r="341" spans="1:39" ht="12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G341" s="34"/>
      <c r="AH341" s="34"/>
      <c r="AI341" s="34"/>
      <c r="AJ341" s="34"/>
      <c r="AK341" s="34"/>
      <c r="AL341" s="34"/>
      <c r="AM341" s="34"/>
    </row>
    <row r="342" spans="1:39" ht="12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G342" s="34"/>
      <c r="AH342" s="34"/>
      <c r="AI342" s="34"/>
      <c r="AJ342" s="34"/>
      <c r="AK342" s="34"/>
      <c r="AL342" s="34"/>
      <c r="AM342" s="34"/>
    </row>
    <row r="343" spans="1:39" ht="12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G343" s="34"/>
      <c r="AH343" s="34"/>
      <c r="AI343" s="34"/>
      <c r="AJ343" s="34"/>
      <c r="AK343" s="34"/>
      <c r="AL343" s="34"/>
      <c r="AM343" s="34"/>
    </row>
    <row r="344" spans="1:39" ht="12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G344" s="34"/>
      <c r="AH344" s="34"/>
      <c r="AI344" s="34"/>
      <c r="AJ344" s="34"/>
      <c r="AK344" s="34"/>
      <c r="AL344" s="34"/>
      <c r="AM344" s="34"/>
    </row>
    <row r="345" spans="1:39" ht="12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G345" s="34"/>
      <c r="AH345" s="34"/>
      <c r="AI345" s="34"/>
      <c r="AJ345" s="34"/>
      <c r="AK345" s="34"/>
      <c r="AL345" s="34"/>
      <c r="AM345" s="34"/>
    </row>
    <row r="346" spans="1:39" ht="12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G346" s="34"/>
      <c r="AH346" s="34"/>
      <c r="AI346" s="34"/>
      <c r="AJ346" s="34"/>
      <c r="AK346" s="34"/>
      <c r="AL346" s="34"/>
      <c r="AM346" s="34"/>
    </row>
    <row r="347" spans="1:39" ht="12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G347" s="34"/>
      <c r="AH347" s="34"/>
      <c r="AI347" s="34"/>
      <c r="AJ347" s="34"/>
      <c r="AK347" s="34"/>
      <c r="AL347" s="34"/>
      <c r="AM347" s="34"/>
    </row>
    <row r="348" spans="1:39" ht="12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G348" s="34"/>
      <c r="AH348" s="34"/>
      <c r="AI348" s="34"/>
      <c r="AJ348" s="34"/>
      <c r="AK348" s="34"/>
      <c r="AL348" s="34"/>
      <c r="AM348" s="34"/>
    </row>
    <row r="349" spans="1:39" ht="12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G349" s="34"/>
      <c r="AH349" s="34"/>
      <c r="AI349" s="34"/>
      <c r="AJ349" s="34"/>
      <c r="AK349" s="34"/>
      <c r="AL349" s="34"/>
      <c r="AM349" s="34"/>
    </row>
    <row r="350" spans="1:39" ht="12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G350" s="34"/>
      <c r="AH350" s="34"/>
      <c r="AI350" s="34"/>
      <c r="AJ350" s="34"/>
      <c r="AK350" s="34"/>
      <c r="AL350" s="34"/>
      <c r="AM350" s="34"/>
    </row>
    <row r="351" spans="1:39" ht="12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G351" s="34"/>
      <c r="AH351" s="34"/>
      <c r="AI351" s="34"/>
      <c r="AJ351" s="34"/>
      <c r="AK351" s="34"/>
      <c r="AL351" s="34"/>
      <c r="AM351" s="34"/>
    </row>
    <row r="352" spans="1:39" ht="12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G352" s="34"/>
      <c r="AH352" s="34"/>
      <c r="AI352" s="34"/>
      <c r="AJ352" s="34"/>
      <c r="AK352" s="34"/>
      <c r="AL352" s="34"/>
      <c r="AM352" s="34"/>
    </row>
    <row r="353" spans="1:39" ht="12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G353" s="34"/>
      <c r="AH353" s="34"/>
      <c r="AI353" s="34"/>
      <c r="AJ353" s="34"/>
      <c r="AK353" s="34"/>
      <c r="AL353" s="34"/>
      <c r="AM353" s="34"/>
    </row>
    <row r="354" spans="1:39" ht="12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G354" s="34"/>
      <c r="AH354" s="34"/>
      <c r="AI354" s="34"/>
      <c r="AJ354" s="34"/>
      <c r="AK354" s="34"/>
      <c r="AL354" s="34"/>
      <c r="AM354" s="34"/>
    </row>
    <row r="355" spans="1:39" ht="12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G355" s="34"/>
      <c r="AH355" s="34"/>
      <c r="AI355" s="34"/>
      <c r="AJ355" s="34"/>
      <c r="AK355" s="34"/>
      <c r="AL355" s="34"/>
      <c r="AM355" s="34"/>
    </row>
    <row r="356" spans="1:39" ht="12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G356" s="34"/>
      <c r="AH356" s="34"/>
      <c r="AI356" s="34"/>
      <c r="AJ356" s="34"/>
      <c r="AK356" s="34"/>
      <c r="AL356" s="34"/>
      <c r="AM356" s="34"/>
    </row>
    <row r="357" spans="1:39" ht="12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G357" s="34"/>
      <c r="AH357" s="34"/>
      <c r="AI357" s="34"/>
      <c r="AJ357" s="34"/>
      <c r="AK357" s="34"/>
      <c r="AL357" s="34"/>
      <c r="AM357" s="34"/>
    </row>
    <row r="358" spans="1:39" ht="12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G358" s="34"/>
      <c r="AH358" s="34"/>
      <c r="AI358" s="34"/>
      <c r="AJ358" s="34"/>
      <c r="AK358" s="34"/>
      <c r="AL358" s="34"/>
      <c r="AM358" s="34"/>
    </row>
    <row r="359" spans="1:39" ht="12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G359" s="34"/>
      <c r="AH359" s="34"/>
      <c r="AI359" s="34"/>
      <c r="AJ359" s="34"/>
      <c r="AK359" s="34"/>
      <c r="AL359" s="34"/>
      <c r="AM359" s="34"/>
    </row>
    <row r="360" spans="1:39" ht="12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G360" s="34"/>
      <c r="AH360" s="34"/>
      <c r="AI360" s="34"/>
      <c r="AJ360" s="34"/>
      <c r="AK360" s="34"/>
      <c r="AL360" s="34"/>
      <c r="AM360" s="34"/>
    </row>
    <row r="361" spans="1:39" ht="12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G361" s="34"/>
      <c r="AH361" s="34"/>
      <c r="AI361" s="34"/>
      <c r="AJ361" s="34"/>
      <c r="AK361" s="34"/>
      <c r="AL361" s="34"/>
      <c r="AM361" s="34"/>
    </row>
    <row r="362" spans="1:39" ht="12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G362" s="34"/>
      <c r="AH362" s="34"/>
      <c r="AI362" s="34"/>
      <c r="AJ362" s="34"/>
      <c r="AK362" s="34"/>
      <c r="AL362" s="34"/>
      <c r="AM362" s="34"/>
    </row>
    <row r="363" spans="1:39" ht="12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G363" s="34"/>
      <c r="AH363" s="34"/>
      <c r="AI363" s="34"/>
      <c r="AJ363" s="34"/>
      <c r="AK363" s="34"/>
      <c r="AL363" s="34"/>
      <c r="AM363" s="34"/>
    </row>
    <row r="364" spans="1:39" ht="12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G364" s="34"/>
      <c r="AH364" s="34"/>
      <c r="AI364" s="34"/>
      <c r="AJ364" s="34"/>
      <c r="AK364" s="34"/>
      <c r="AL364" s="34"/>
      <c r="AM364" s="34"/>
    </row>
    <row r="365" spans="1:39" ht="12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G365" s="34"/>
      <c r="AH365" s="34"/>
      <c r="AI365" s="34"/>
      <c r="AJ365" s="34"/>
      <c r="AK365" s="34"/>
      <c r="AL365" s="34"/>
      <c r="AM365" s="34"/>
    </row>
    <row r="366" spans="1:39" ht="12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G366" s="34"/>
      <c r="AH366" s="34"/>
      <c r="AI366" s="34"/>
      <c r="AJ366" s="34"/>
      <c r="AK366" s="34"/>
      <c r="AL366" s="34"/>
      <c r="AM366" s="34"/>
    </row>
    <row r="367" spans="1:39" ht="12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G367" s="34"/>
      <c r="AH367" s="34"/>
      <c r="AI367" s="34"/>
      <c r="AJ367" s="34"/>
      <c r="AK367" s="34"/>
      <c r="AL367" s="34"/>
      <c r="AM367" s="34"/>
    </row>
    <row r="368" spans="1:39" ht="12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G368" s="34"/>
      <c r="AH368" s="34"/>
      <c r="AI368" s="34"/>
      <c r="AJ368" s="34"/>
      <c r="AK368" s="34"/>
      <c r="AL368" s="34"/>
      <c r="AM368" s="34"/>
    </row>
    <row r="369" spans="1:39" ht="12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G369" s="34"/>
      <c r="AH369" s="34"/>
      <c r="AI369" s="34"/>
      <c r="AJ369" s="34"/>
      <c r="AK369" s="34"/>
      <c r="AL369" s="34"/>
      <c r="AM369" s="34"/>
    </row>
    <row r="370" spans="1:39" ht="12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G370" s="34"/>
      <c r="AH370" s="34"/>
      <c r="AI370" s="34"/>
      <c r="AJ370" s="34"/>
      <c r="AK370" s="34"/>
      <c r="AL370" s="34"/>
      <c r="AM370" s="34"/>
    </row>
    <row r="371" spans="1:39" ht="12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G371" s="34"/>
      <c r="AH371" s="34"/>
      <c r="AI371" s="34"/>
      <c r="AJ371" s="34"/>
      <c r="AK371" s="34"/>
      <c r="AL371" s="34"/>
      <c r="AM371" s="34"/>
    </row>
    <row r="372" spans="1:39" ht="12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G372" s="34"/>
      <c r="AH372" s="34"/>
      <c r="AI372" s="34"/>
      <c r="AJ372" s="34"/>
      <c r="AK372" s="34"/>
      <c r="AL372" s="34"/>
      <c r="AM372" s="34"/>
    </row>
    <row r="373" spans="1:39" ht="12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G373" s="34"/>
      <c r="AH373" s="34"/>
      <c r="AI373" s="34"/>
      <c r="AJ373" s="34"/>
      <c r="AK373" s="34"/>
      <c r="AL373" s="34"/>
      <c r="AM373" s="34"/>
    </row>
    <row r="374" spans="1:39" ht="12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G374" s="34"/>
      <c r="AH374" s="34"/>
      <c r="AI374" s="34"/>
      <c r="AJ374" s="34"/>
      <c r="AK374" s="34"/>
      <c r="AL374" s="34"/>
      <c r="AM374" s="34"/>
    </row>
    <row r="375" spans="1:39" ht="12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G375" s="34"/>
      <c r="AH375" s="34"/>
      <c r="AI375" s="34"/>
      <c r="AJ375" s="34"/>
      <c r="AK375" s="34"/>
      <c r="AL375" s="34"/>
      <c r="AM375" s="34"/>
    </row>
    <row r="376" spans="1:39" ht="12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G376" s="34"/>
      <c r="AH376" s="34"/>
      <c r="AI376" s="34"/>
      <c r="AJ376" s="34"/>
      <c r="AK376" s="34"/>
      <c r="AL376" s="34"/>
      <c r="AM376" s="34"/>
    </row>
    <row r="377" spans="1:39" ht="12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G377" s="34"/>
      <c r="AH377" s="34"/>
      <c r="AI377" s="34"/>
      <c r="AJ377" s="34"/>
      <c r="AK377" s="34"/>
      <c r="AL377" s="34"/>
      <c r="AM377" s="34"/>
    </row>
    <row r="378" spans="1:39" ht="12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G378" s="34"/>
      <c r="AH378" s="34"/>
      <c r="AI378" s="34"/>
      <c r="AJ378" s="34"/>
      <c r="AK378" s="34"/>
      <c r="AL378" s="34"/>
      <c r="AM378" s="34"/>
    </row>
    <row r="379" spans="1:39" ht="12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G379" s="34"/>
      <c r="AH379" s="34"/>
      <c r="AI379" s="34"/>
      <c r="AJ379" s="34"/>
      <c r="AK379" s="34"/>
      <c r="AL379" s="34"/>
      <c r="AM379" s="34"/>
    </row>
    <row r="380" spans="1:39" ht="12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G380" s="34"/>
      <c r="AH380" s="34"/>
      <c r="AI380" s="34"/>
      <c r="AJ380" s="34"/>
      <c r="AK380" s="34"/>
      <c r="AL380" s="34"/>
      <c r="AM380" s="34"/>
    </row>
    <row r="381" spans="1:39" ht="12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G381" s="34"/>
      <c r="AH381" s="34"/>
      <c r="AI381" s="34"/>
      <c r="AJ381" s="34"/>
      <c r="AK381" s="34"/>
      <c r="AL381" s="34"/>
      <c r="AM381" s="34"/>
    </row>
    <row r="382" spans="1:39" ht="12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G382" s="34"/>
      <c r="AH382" s="34"/>
      <c r="AI382" s="34"/>
      <c r="AJ382" s="34"/>
      <c r="AK382" s="34"/>
      <c r="AL382" s="34"/>
      <c r="AM382" s="34"/>
    </row>
    <row r="383" spans="1:39" ht="12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G383" s="34"/>
      <c r="AH383" s="34"/>
      <c r="AI383" s="34"/>
      <c r="AJ383" s="34"/>
      <c r="AK383" s="34"/>
      <c r="AL383" s="34"/>
      <c r="AM383" s="34"/>
    </row>
    <row r="384" spans="1:39" ht="12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G384" s="34"/>
      <c r="AH384" s="34"/>
      <c r="AI384" s="34"/>
      <c r="AJ384" s="34"/>
      <c r="AK384" s="34"/>
      <c r="AL384" s="34"/>
      <c r="AM384" s="34"/>
    </row>
    <row r="385" spans="1:39" ht="12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G385" s="34"/>
      <c r="AH385" s="34"/>
      <c r="AI385" s="34"/>
      <c r="AJ385" s="34"/>
      <c r="AK385" s="34"/>
      <c r="AL385" s="34"/>
      <c r="AM385" s="34"/>
    </row>
    <row r="386" spans="1:39" ht="12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G386" s="34"/>
      <c r="AH386" s="34"/>
      <c r="AI386" s="34"/>
      <c r="AJ386" s="34"/>
      <c r="AK386" s="34"/>
      <c r="AL386" s="34"/>
      <c r="AM386" s="34"/>
    </row>
    <row r="387" spans="1:39" ht="12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G387" s="34"/>
      <c r="AH387" s="34"/>
      <c r="AI387" s="34"/>
      <c r="AJ387" s="34"/>
      <c r="AK387" s="34"/>
      <c r="AL387" s="34"/>
      <c r="AM387" s="34"/>
    </row>
    <row r="388" spans="1:39" ht="12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G388" s="34"/>
      <c r="AH388" s="34"/>
      <c r="AI388" s="34"/>
      <c r="AJ388" s="34"/>
      <c r="AK388" s="34"/>
      <c r="AL388" s="34"/>
      <c r="AM388" s="34"/>
    </row>
    <row r="389" spans="1:39" ht="12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G389" s="34"/>
      <c r="AH389" s="34"/>
      <c r="AI389" s="34"/>
      <c r="AJ389" s="34"/>
      <c r="AK389" s="34"/>
      <c r="AL389" s="34"/>
      <c r="AM389" s="34"/>
    </row>
    <row r="390" spans="1:39" ht="12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G390" s="34"/>
      <c r="AH390" s="34"/>
      <c r="AI390" s="34"/>
      <c r="AJ390" s="34"/>
      <c r="AK390" s="34"/>
      <c r="AL390" s="34"/>
      <c r="AM390" s="34"/>
    </row>
    <row r="391" spans="1:39" ht="12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G391" s="34"/>
      <c r="AH391" s="34"/>
      <c r="AI391" s="34"/>
      <c r="AJ391" s="34"/>
      <c r="AK391" s="34"/>
      <c r="AL391" s="34"/>
      <c r="AM391" s="34"/>
    </row>
    <row r="392" spans="1:39" ht="12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G392" s="34"/>
      <c r="AH392" s="34"/>
      <c r="AI392" s="34"/>
      <c r="AJ392" s="34"/>
      <c r="AK392" s="34"/>
      <c r="AL392" s="34"/>
      <c r="AM392" s="34"/>
    </row>
    <row r="393" spans="1:39" ht="12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G393" s="34"/>
      <c r="AH393" s="34"/>
      <c r="AI393" s="34"/>
      <c r="AJ393" s="34"/>
      <c r="AK393" s="34"/>
      <c r="AL393" s="34"/>
      <c r="AM393" s="34"/>
    </row>
    <row r="394" spans="1:39" ht="12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G394" s="34"/>
      <c r="AH394" s="34"/>
      <c r="AI394" s="34"/>
      <c r="AJ394" s="34"/>
      <c r="AK394" s="34"/>
      <c r="AL394" s="34"/>
      <c r="AM394" s="34"/>
    </row>
    <row r="395" spans="1:39" ht="12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G395" s="34"/>
      <c r="AH395" s="34"/>
      <c r="AI395" s="34"/>
      <c r="AJ395" s="34"/>
      <c r="AK395" s="34"/>
      <c r="AL395" s="34"/>
      <c r="AM395" s="34"/>
    </row>
    <row r="396" spans="1:39" ht="12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G396" s="34"/>
      <c r="AH396" s="34"/>
      <c r="AI396" s="34"/>
      <c r="AJ396" s="34"/>
      <c r="AK396" s="34"/>
      <c r="AL396" s="34"/>
      <c r="AM396" s="34"/>
    </row>
    <row r="397" spans="1:39" ht="12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G397" s="34"/>
      <c r="AH397" s="34"/>
      <c r="AI397" s="34"/>
      <c r="AJ397" s="34"/>
      <c r="AK397" s="34"/>
      <c r="AL397" s="34"/>
      <c r="AM397" s="34"/>
    </row>
    <row r="398" spans="1:39" ht="12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G398" s="34"/>
      <c r="AH398" s="34"/>
      <c r="AI398" s="34"/>
      <c r="AJ398" s="34"/>
      <c r="AK398" s="34"/>
      <c r="AL398" s="34"/>
      <c r="AM398" s="34"/>
    </row>
    <row r="399" spans="1:39" ht="12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G399" s="34"/>
      <c r="AH399" s="34"/>
      <c r="AI399" s="34"/>
      <c r="AJ399" s="34"/>
      <c r="AK399" s="34"/>
      <c r="AL399" s="34"/>
      <c r="AM399" s="34"/>
    </row>
    <row r="400" spans="1:39" ht="12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G400" s="34"/>
      <c r="AH400" s="34"/>
      <c r="AI400" s="34"/>
      <c r="AJ400" s="34"/>
      <c r="AK400" s="34"/>
      <c r="AL400" s="34"/>
      <c r="AM400" s="34"/>
    </row>
    <row r="401" spans="1:39" ht="12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G401" s="34"/>
      <c r="AH401" s="34"/>
      <c r="AI401" s="34"/>
      <c r="AJ401" s="34"/>
      <c r="AK401" s="34"/>
      <c r="AL401" s="34"/>
      <c r="AM401" s="34"/>
    </row>
    <row r="402" spans="1:39" ht="12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G402" s="34"/>
      <c r="AH402" s="34"/>
      <c r="AI402" s="34"/>
      <c r="AJ402" s="34"/>
      <c r="AK402" s="34"/>
      <c r="AL402" s="34"/>
      <c r="AM402" s="34"/>
    </row>
    <row r="403" spans="1:39" ht="12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G403" s="34"/>
      <c r="AH403" s="34"/>
      <c r="AI403" s="34"/>
      <c r="AJ403" s="34"/>
      <c r="AK403" s="34"/>
      <c r="AL403" s="34"/>
      <c r="AM403" s="34"/>
    </row>
    <row r="404" spans="1:39" ht="12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G404" s="34"/>
      <c r="AH404" s="34"/>
      <c r="AI404" s="34"/>
      <c r="AJ404" s="34"/>
      <c r="AK404" s="34"/>
      <c r="AL404" s="34"/>
      <c r="AM404" s="34"/>
    </row>
    <row r="405" spans="1:39" ht="12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G405" s="34"/>
      <c r="AH405" s="34"/>
      <c r="AI405" s="34"/>
      <c r="AJ405" s="34"/>
      <c r="AK405" s="34"/>
      <c r="AL405" s="34"/>
      <c r="AM405" s="34"/>
    </row>
    <row r="406" spans="1:39" ht="12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G406" s="34"/>
      <c r="AH406" s="34"/>
      <c r="AI406" s="34"/>
      <c r="AJ406" s="34"/>
      <c r="AK406" s="34"/>
      <c r="AL406" s="34"/>
      <c r="AM406" s="34"/>
    </row>
    <row r="407" spans="1:39" ht="12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G407" s="34"/>
      <c r="AH407" s="34"/>
      <c r="AI407" s="34"/>
      <c r="AJ407" s="34"/>
      <c r="AK407" s="34"/>
      <c r="AL407" s="34"/>
      <c r="AM407" s="34"/>
    </row>
    <row r="408" spans="1:39" ht="12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G408" s="34"/>
      <c r="AH408" s="34"/>
      <c r="AI408" s="34"/>
      <c r="AJ408" s="34"/>
      <c r="AK408" s="34"/>
      <c r="AL408" s="34"/>
      <c r="AM408" s="34"/>
    </row>
    <row r="409" spans="1:39" ht="12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G409" s="34"/>
      <c r="AH409" s="34"/>
      <c r="AI409" s="34"/>
      <c r="AJ409" s="34"/>
      <c r="AK409" s="34"/>
      <c r="AL409" s="34"/>
      <c r="AM409" s="34"/>
    </row>
    <row r="410" spans="1:39" ht="12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G410" s="34"/>
      <c r="AH410" s="34"/>
      <c r="AI410" s="34"/>
      <c r="AJ410" s="34"/>
      <c r="AK410" s="34"/>
      <c r="AL410" s="34"/>
      <c r="AM410" s="34"/>
    </row>
    <row r="411" spans="1:39" ht="12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G411" s="34"/>
      <c r="AH411" s="34"/>
      <c r="AI411" s="34"/>
      <c r="AJ411" s="34"/>
      <c r="AK411" s="34"/>
      <c r="AL411" s="34"/>
      <c r="AM411" s="34"/>
    </row>
    <row r="412" spans="1:39" ht="12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G412" s="34"/>
      <c r="AH412" s="34"/>
      <c r="AI412" s="34"/>
      <c r="AJ412" s="34"/>
      <c r="AK412" s="34"/>
      <c r="AL412" s="34"/>
      <c r="AM412" s="34"/>
    </row>
    <row r="413" spans="1:39" ht="12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G413" s="34"/>
      <c r="AH413" s="34"/>
      <c r="AI413" s="34"/>
      <c r="AJ413" s="34"/>
      <c r="AK413" s="34"/>
      <c r="AL413" s="34"/>
      <c r="AM413" s="34"/>
    </row>
    <row r="414" spans="1:39" ht="12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G414" s="34"/>
      <c r="AH414" s="34"/>
      <c r="AI414" s="34"/>
      <c r="AJ414" s="34"/>
      <c r="AK414" s="34"/>
      <c r="AL414" s="34"/>
      <c r="AM414" s="34"/>
    </row>
    <row r="415" spans="1:39" ht="12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G415" s="34"/>
      <c r="AH415" s="34"/>
      <c r="AI415" s="34"/>
      <c r="AJ415" s="34"/>
      <c r="AK415" s="34"/>
      <c r="AL415" s="34"/>
      <c r="AM415" s="34"/>
    </row>
    <row r="416" spans="1:39" ht="12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G416" s="34"/>
      <c r="AH416" s="34"/>
      <c r="AI416" s="34"/>
      <c r="AJ416" s="34"/>
      <c r="AK416" s="34"/>
      <c r="AL416" s="34"/>
      <c r="AM416" s="34"/>
    </row>
    <row r="417" spans="1:39" ht="12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G417" s="34"/>
      <c r="AH417" s="34"/>
      <c r="AI417" s="34"/>
      <c r="AJ417" s="34"/>
      <c r="AK417" s="34"/>
      <c r="AL417" s="34"/>
      <c r="AM417" s="34"/>
    </row>
    <row r="418" spans="1:39" ht="12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G418" s="34"/>
      <c r="AH418" s="34"/>
      <c r="AI418" s="34"/>
      <c r="AJ418" s="34"/>
      <c r="AK418" s="34"/>
      <c r="AL418" s="34"/>
      <c r="AM418" s="34"/>
    </row>
    <row r="419" spans="1:39" ht="12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G419" s="34"/>
      <c r="AH419" s="34"/>
      <c r="AI419" s="34"/>
      <c r="AJ419" s="34"/>
      <c r="AK419" s="34"/>
      <c r="AL419" s="34"/>
      <c r="AM419" s="34"/>
    </row>
    <row r="420" spans="1:39" ht="12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G420" s="34"/>
      <c r="AH420" s="34"/>
      <c r="AI420" s="34"/>
      <c r="AJ420" s="34"/>
      <c r="AK420" s="34"/>
      <c r="AL420" s="34"/>
      <c r="AM420" s="34"/>
    </row>
    <row r="421" spans="1:39" ht="12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G421" s="34"/>
      <c r="AH421" s="34"/>
      <c r="AI421" s="34"/>
      <c r="AJ421" s="34"/>
      <c r="AK421" s="34"/>
      <c r="AL421" s="34"/>
      <c r="AM421" s="34"/>
    </row>
    <row r="422" spans="1:39" ht="12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G422" s="34"/>
      <c r="AH422" s="34"/>
      <c r="AI422" s="34"/>
      <c r="AJ422" s="34"/>
      <c r="AK422" s="34"/>
      <c r="AL422" s="34"/>
      <c r="AM422" s="34"/>
    </row>
    <row r="423" spans="1:39" ht="12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G423" s="34"/>
      <c r="AH423" s="34"/>
      <c r="AI423" s="34"/>
      <c r="AJ423" s="34"/>
      <c r="AK423" s="34"/>
      <c r="AL423" s="34"/>
      <c r="AM423" s="34"/>
    </row>
    <row r="424" spans="1:39" ht="12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G424" s="34"/>
      <c r="AH424" s="34"/>
      <c r="AI424" s="34"/>
      <c r="AJ424" s="34"/>
      <c r="AK424" s="34"/>
      <c r="AL424" s="34"/>
      <c r="AM424" s="34"/>
    </row>
    <row r="425" spans="1:39" ht="12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G425" s="34"/>
      <c r="AH425" s="34"/>
      <c r="AI425" s="34"/>
      <c r="AJ425" s="34"/>
      <c r="AK425" s="34"/>
      <c r="AL425" s="34"/>
      <c r="AM425" s="34"/>
    </row>
    <row r="426" spans="1:39" ht="12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G426" s="34"/>
      <c r="AH426" s="34"/>
      <c r="AI426" s="34"/>
      <c r="AJ426" s="34"/>
      <c r="AK426" s="34"/>
      <c r="AL426" s="34"/>
      <c r="AM426" s="34"/>
    </row>
    <row r="427" spans="1:39" ht="12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G427" s="34"/>
      <c r="AH427" s="34"/>
      <c r="AI427" s="34"/>
      <c r="AJ427" s="34"/>
      <c r="AK427" s="34"/>
      <c r="AL427" s="34"/>
      <c r="AM427" s="34"/>
    </row>
    <row r="428" spans="1:39" ht="12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G428" s="34"/>
      <c r="AH428" s="34"/>
      <c r="AI428" s="34"/>
      <c r="AJ428" s="34"/>
      <c r="AK428" s="34"/>
      <c r="AL428" s="34"/>
      <c r="AM428" s="34"/>
    </row>
    <row r="429" spans="1:39" ht="12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G429" s="34"/>
      <c r="AH429" s="34"/>
      <c r="AI429" s="34"/>
      <c r="AJ429" s="34"/>
      <c r="AK429" s="34"/>
      <c r="AL429" s="34"/>
      <c r="AM429" s="34"/>
    </row>
    <row r="430" spans="1:39" ht="12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G430" s="34"/>
      <c r="AH430" s="34"/>
      <c r="AI430" s="34"/>
      <c r="AJ430" s="34"/>
      <c r="AK430" s="34"/>
      <c r="AL430" s="34"/>
      <c r="AM430" s="34"/>
    </row>
    <row r="431" spans="1:39" ht="12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G431" s="34"/>
      <c r="AH431" s="34"/>
      <c r="AI431" s="34"/>
      <c r="AJ431" s="34"/>
      <c r="AK431" s="34"/>
      <c r="AL431" s="34"/>
      <c r="AM431" s="34"/>
    </row>
    <row r="432" spans="1:39" ht="12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G432" s="34"/>
      <c r="AH432" s="34"/>
      <c r="AI432" s="34"/>
      <c r="AJ432" s="34"/>
      <c r="AK432" s="34"/>
      <c r="AL432" s="34"/>
      <c r="AM432" s="34"/>
    </row>
    <row r="433" spans="1:39" ht="12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G433" s="34"/>
      <c r="AH433" s="34"/>
      <c r="AI433" s="34"/>
      <c r="AJ433" s="34"/>
      <c r="AK433" s="34"/>
      <c r="AL433" s="34"/>
      <c r="AM433" s="34"/>
    </row>
    <row r="434" spans="1:39" ht="12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G434" s="34"/>
      <c r="AH434" s="34"/>
      <c r="AI434" s="34"/>
      <c r="AJ434" s="34"/>
      <c r="AK434" s="34"/>
      <c r="AL434" s="34"/>
      <c r="AM434" s="34"/>
    </row>
    <row r="435" spans="1:39" ht="12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G435" s="34"/>
      <c r="AH435" s="34"/>
      <c r="AI435" s="34"/>
      <c r="AJ435" s="34"/>
      <c r="AK435" s="34"/>
      <c r="AL435" s="34"/>
      <c r="AM435" s="34"/>
    </row>
    <row r="436" spans="1:39" ht="12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G436" s="34"/>
      <c r="AH436" s="34"/>
      <c r="AI436" s="34"/>
      <c r="AJ436" s="34"/>
      <c r="AK436" s="34"/>
      <c r="AL436" s="34"/>
      <c r="AM436" s="34"/>
    </row>
    <row r="437" spans="1:39" ht="12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G437" s="34"/>
      <c r="AH437" s="34"/>
      <c r="AI437" s="34"/>
      <c r="AJ437" s="34"/>
      <c r="AK437" s="34"/>
      <c r="AL437" s="34"/>
      <c r="AM437" s="34"/>
    </row>
    <row r="438" spans="1:39" ht="12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G438" s="34"/>
      <c r="AH438" s="34"/>
      <c r="AI438" s="34"/>
      <c r="AJ438" s="34"/>
      <c r="AK438" s="34"/>
      <c r="AL438" s="34"/>
      <c r="AM438" s="34"/>
    </row>
    <row r="439" spans="1:39" ht="12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G439" s="34"/>
      <c r="AH439" s="34"/>
      <c r="AI439" s="34"/>
      <c r="AJ439" s="34"/>
      <c r="AK439" s="34"/>
      <c r="AL439" s="34"/>
      <c r="AM439" s="34"/>
    </row>
    <row r="440" spans="1:39" ht="12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G440" s="34"/>
      <c r="AH440" s="34"/>
      <c r="AI440" s="34"/>
      <c r="AJ440" s="34"/>
      <c r="AK440" s="34"/>
      <c r="AL440" s="34"/>
      <c r="AM440" s="34"/>
    </row>
    <row r="441" spans="1:39" ht="12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G441" s="34"/>
      <c r="AH441" s="34"/>
      <c r="AI441" s="34"/>
      <c r="AJ441" s="34"/>
      <c r="AK441" s="34"/>
      <c r="AL441" s="34"/>
      <c r="AM441" s="34"/>
    </row>
    <row r="442" spans="1:39" ht="12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G442" s="34"/>
      <c r="AH442" s="34"/>
      <c r="AI442" s="34"/>
      <c r="AJ442" s="34"/>
      <c r="AK442" s="34"/>
      <c r="AL442" s="34"/>
      <c r="AM442" s="34"/>
    </row>
    <row r="443" spans="1:39" ht="12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G443" s="34"/>
      <c r="AH443" s="34"/>
      <c r="AI443" s="34"/>
      <c r="AJ443" s="34"/>
      <c r="AK443" s="34"/>
      <c r="AL443" s="34"/>
      <c r="AM443" s="34"/>
    </row>
    <row r="444" spans="1:39" ht="12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G444" s="34"/>
      <c r="AH444" s="34"/>
      <c r="AI444" s="34"/>
      <c r="AJ444" s="34"/>
      <c r="AK444" s="34"/>
      <c r="AL444" s="34"/>
      <c r="AM444" s="34"/>
    </row>
    <row r="445" spans="1:39" ht="12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G445" s="34"/>
      <c r="AH445" s="34"/>
      <c r="AI445" s="34"/>
      <c r="AJ445" s="34"/>
      <c r="AK445" s="34"/>
      <c r="AL445" s="34"/>
      <c r="AM445" s="34"/>
    </row>
    <row r="446" spans="1:39" ht="12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G446" s="34"/>
      <c r="AH446" s="34"/>
      <c r="AI446" s="34"/>
      <c r="AJ446" s="34"/>
      <c r="AK446" s="34"/>
      <c r="AL446" s="34"/>
      <c r="AM446" s="34"/>
    </row>
    <row r="447" spans="1:39" ht="12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G447" s="34"/>
      <c r="AH447" s="34"/>
      <c r="AI447" s="34"/>
      <c r="AJ447" s="34"/>
      <c r="AK447" s="34"/>
      <c r="AL447" s="34"/>
      <c r="AM447" s="34"/>
    </row>
    <row r="448" spans="1:39" ht="12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G448" s="34"/>
      <c r="AH448" s="34"/>
      <c r="AI448" s="34"/>
      <c r="AJ448" s="34"/>
      <c r="AK448" s="34"/>
      <c r="AL448" s="34"/>
      <c r="AM448" s="34"/>
    </row>
    <row r="449" spans="1:39" ht="12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G449" s="34"/>
      <c r="AH449" s="34"/>
      <c r="AI449" s="34"/>
      <c r="AJ449" s="34"/>
      <c r="AK449" s="34"/>
      <c r="AL449" s="34"/>
      <c r="AM449" s="34"/>
    </row>
    <row r="450" spans="1:39" ht="12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G450" s="34"/>
      <c r="AH450" s="34"/>
      <c r="AI450" s="34"/>
      <c r="AJ450" s="34"/>
      <c r="AK450" s="34"/>
      <c r="AL450" s="34"/>
      <c r="AM450" s="34"/>
    </row>
    <row r="451" spans="1:39" ht="12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G451" s="34"/>
      <c r="AH451" s="34"/>
      <c r="AI451" s="34"/>
      <c r="AJ451" s="34"/>
      <c r="AK451" s="34"/>
      <c r="AL451" s="34"/>
      <c r="AM451" s="34"/>
    </row>
    <row r="452" spans="1:39" ht="12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G452" s="34"/>
      <c r="AH452" s="34"/>
      <c r="AI452" s="34"/>
      <c r="AJ452" s="34"/>
      <c r="AK452" s="34"/>
      <c r="AL452" s="34"/>
      <c r="AM452" s="34"/>
    </row>
    <row r="453" spans="1:39" ht="12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G453" s="34"/>
      <c r="AH453" s="34"/>
      <c r="AI453" s="34"/>
      <c r="AJ453" s="34"/>
      <c r="AK453" s="34"/>
      <c r="AL453" s="34"/>
      <c r="AM453" s="34"/>
    </row>
    <row r="454" spans="1:39" ht="12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G454" s="34"/>
      <c r="AH454" s="34"/>
      <c r="AI454" s="34"/>
      <c r="AJ454" s="34"/>
      <c r="AK454" s="34"/>
      <c r="AL454" s="34"/>
      <c r="AM454" s="34"/>
    </row>
    <row r="455" spans="1:39" ht="12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G455" s="34"/>
      <c r="AH455" s="34"/>
      <c r="AI455" s="34"/>
      <c r="AJ455" s="34"/>
      <c r="AK455" s="34"/>
      <c r="AL455" s="34"/>
      <c r="AM455" s="34"/>
    </row>
    <row r="456" spans="1:39" ht="12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G456" s="34"/>
      <c r="AH456" s="34"/>
      <c r="AI456" s="34"/>
      <c r="AJ456" s="34"/>
      <c r="AK456" s="34"/>
      <c r="AL456" s="34"/>
      <c r="AM456" s="34"/>
    </row>
    <row r="457" spans="1:39" ht="12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G457" s="34"/>
      <c r="AH457" s="34"/>
      <c r="AI457" s="34"/>
      <c r="AJ457" s="34"/>
      <c r="AK457" s="34"/>
      <c r="AL457" s="34"/>
      <c r="AM457" s="34"/>
    </row>
    <row r="458" spans="1:39" ht="12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G458" s="34"/>
      <c r="AH458" s="34"/>
      <c r="AI458" s="34"/>
      <c r="AJ458" s="34"/>
      <c r="AK458" s="34"/>
      <c r="AL458" s="34"/>
      <c r="AM458" s="34"/>
    </row>
    <row r="459" spans="1:39" ht="12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G459" s="34"/>
      <c r="AH459" s="34"/>
      <c r="AI459" s="34"/>
      <c r="AJ459" s="34"/>
      <c r="AK459" s="34"/>
      <c r="AL459" s="34"/>
      <c r="AM459" s="34"/>
    </row>
    <row r="460" spans="1:39" ht="12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G460" s="34"/>
      <c r="AH460" s="34"/>
      <c r="AI460" s="34"/>
      <c r="AJ460" s="34"/>
      <c r="AK460" s="34"/>
      <c r="AL460" s="34"/>
      <c r="AM460" s="34"/>
    </row>
    <row r="461" spans="1:39" ht="12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G461" s="34"/>
      <c r="AH461" s="34"/>
      <c r="AI461" s="34"/>
      <c r="AJ461" s="34"/>
      <c r="AK461" s="34"/>
      <c r="AL461" s="34"/>
      <c r="AM461" s="34"/>
    </row>
    <row r="462" spans="1:39" ht="12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G462" s="34"/>
      <c r="AH462" s="34"/>
      <c r="AI462" s="34"/>
      <c r="AJ462" s="34"/>
      <c r="AK462" s="34"/>
      <c r="AL462" s="34"/>
      <c r="AM462" s="34"/>
    </row>
    <row r="463" spans="1:39" ht="12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G463" s="34"/>
      <c r="AH463" s="34"/>
      <c r="AI463" s="34"/>
      <c r="AJ463" s="34"/>
      <c r="AK463" s="34"/>
      <c r="AL463" s="34"/>
      <c r="AM463" s="34"/>
    </row>
    <row r="464" spans="1:39" ht="12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G464" s="34"/>
      <c r="AH464" s="34"/>
      <c r="AI464" s="34"/>
      <c r="AJ464" s="34"/>
      <c r="AK464" s="34"/>
      <c r="AL464" s="34"/>
      <c r="AM464" s="34"/>
    </row>
    <row r="465" spans="1:39" ht="12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G465" s="34"/>
      <c r="AH465" s="34"/>
      <c r="AI465" s="34"/>
      <c r="AJ465" s="34"/>
      <c r="AK465" s="34"/>
      <c r="AL465" s="34"/>
      <c r="AM465" s="34"/>
    </row>
    <row r="466" spans="1:39" ht="12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G466" s="34"/>
      <c r="AH466" s="34"/>
      <c r="AI466" s="34"/>
      <c r="AJ466" s="34"/>
      <c r="AK466" s="34"/>
      <c r="AL466" s="34"/>
      <c r="AM466" s="34"/>
    </row>
    <row r="467" spans="1:39" ht="12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G467" s="34"/>
      <c r="AH467" s="34"/>
      <c r="AI467" s="34"/>
      <c r="AJ467" s="34"/>
      <c r="AK467" s="34"/>
      <c r="AL467" s="34"/>
      <c r="AM467" s="34"/>
    </row>
    <row r="468" spans="1:39" ht="12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G468" s="34"/>
      <c r="AH468" s="34"/>
      <c r="AI468" s="34"/>
      <c r="AJ468" s="34"/>
      <c r="AK468" s="34"/>
      <c r="AL468" s="34"/>
      <c r="AM468" s="34"/>
    </row>
    <row r="469" spans="1:39" ht="12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G469" s="34"/>
      <c r="AH469" s="34"/>
      <c r="AI469" s="34"/>
      <c r="AJ469" s="34"/>
      <c r="AK469" s="34"/>
      <c r="AL469" s="34"/>
      <c r="AM469" s="34"/>
    </row>
    <row r="470" spans="1:39" ht="12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G470" s="34"/>
      <c r="AH470" s="34"/>
      <c r="AI470" s="34"/>
      <c r="AJ470" s="34"/>
      <c r="AK470" s="34"/>
      <c r="AL470" s="34"/>
      <c r="AM470" s="34"/>
    </row>
    <row r="471" spans="1:39" ht="12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G471" s="34"/>
      <c r="AH471" s="34"/>
      <c r="AI471" s="34"/>
      <c r="AJ471" s="34"/>
      <c r="AK471" s="34"/>
      <c r="AL471" s="34"/>
      <c r="AM471" s="34"/>
    </row>
    <row r="472" spans="1:39" ht="12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G472" s="34"/>
      <c r="AH472" s="34"/>
      <c r="AI472" s="34"/>
      <c r="AJ472" s="34"/>
      <c r="AK472" s="34"/>
      <c r="AL472" s="34"/>
      <c r="AM472" s="34"/>
    </row>
    <row r="473" spans="1:39" ht="12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G473" s="34"/>
      <c r="AH473" s="34"/>
      <c r="AI473" s="34"/>
      <c r="AJ473" s="34"/>
      <c r="AK473" s="34"/>
      <c r="AL473" s="34"/>
      <c r="AM473" s="34"/>
    </row>
    <row r="474" spans="1:39" ht="12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G474" s="34"/>
      <c r="AH474" s="34"/>
      <c r="AI474" s="34"/>
      <c r="AJ474" s="34"/>
      <c r="AK474" s="34"/>
      <c r="AL474" s="34"/>
      <c r="AM474" s="34"/>
    </row>
    <row r="475" spans="1:39" ht="12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G475" s="34"/>
      <c r="AH475" s="34"/>
      <c r="AI475" s="34"/>
      <c r="AJ475" s="34"/>
      <c r="AK475" s="34"/>
      <c r="AL475" s="34"/>
      <c r="AM475" s="34"/>
    </row>
    <row r="476" spans="1:39" ht="12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G476" s="34"/>
      <c r="AH476" s="34"/>
      <c r="AI476" s="34"/>
      <c r="AJ476" s="34"/>
      <c r="AK476" s="34"/>
      <c r="AL476" s="34"/>
      <c r="AM476" s="34"/>
    </row>
    <row r="477" spans="1:39" ht="12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G477" s="34"/>
      <c r="AH477" s="34"/>
      <c r="AI477" s="34"/>
      <c r="AJ477" s="34"/>
      <c r="AK477" s="34"/>
      <c r="AL477" s="34"/>
      <c r="AM477" s="34"/>
    </row>
    <row r="478" spans="1:39" ht="12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G478" s="34"/>
      <c r="AH478" s="34"/>
      <c r="AI478" s="34"/>
      <c r="AJ478" s="34"/>
      <c r="AK478" s="34"/>
      <c r="AL478" s="34"/>
      <c r="AM478" s="34"/>
    </row>
    <row r="479" spans="1:39" ht="12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G479" s="34"/>
      <c r="AH479" s="34"/>
      <c r="AI479" s="34"/>
      <c r="AJ479" s="34"/>
      <c r="AK479" s="34"/>
      <c r="AL479" s="34"/>
      <c r="AM479" s="34"/>
    </row>
    <row r="480" spans="1:39" ht="12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G480" s="34"/>
      <c r="AH480" s="34"/>
      <c r="AI480" s="34"/>
      <c r="AJ480" s="34"/>
      <c r="AK480" s="34"/>
      <c r="AL480" s="34"/>
      <c r="AM480" s="34"/>
    </row>
    <row r="481" spans="1:39" ht="12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G481" s="34"/>
      <c r="AH481" s="34"/>
      <c r="AI481" s="34"/>
      <c r="AJ481" s="34"/>
      <c r="AK481" s="34"/>
      <c r="AL481" s="34"/>
      <c r="AM481" s="34"/>
    </row>
    <row r="482" spans="1:39" ht="12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G482" s="34"/>
      <c r="AH482" s="34"/>
      <c r="AI482" s="34"/>
      <c r="AJ482" s="34"/>
      <c r="AK482" s="34"/>
      <c r="AL482" s="34"/>
      <c r="AM482" s="34"/>
    </row>
    <row r="483" spans="1:39" ht="12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G483" s="34"/>
      <c r="AH483" s="34"/>
      <c r="AI483" s="34"/>
      <c r="AJ483" s="34"/>
      <c r="AK483" s="34"/>
      <c r="AL483" s="34"/>
      <c r="AM483" s="34"/>
    </row>
    <row r="484" spans="1:39" ht="12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G484" s="34"/>
      <c r="AH484" s="34"/>
      <c r="AI484" s="34"/>
      <c r="AJ484" s="34"/>
      <c r="AK484" s="34"/>
      <c r="AL484" s="34"/>
      <c r="AM484" s="34"/>
    </row>
    <row r="485" spans="1:39" ht="12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G485" s="34"/>
      <c r="AH485" s="34"/>
      <c r="AI485" s="34"/>
      <c r="AJ485" s="34"/>
      <c r="AK485" s="34"/>
      <c r="AL485" s="34"/>
      <c r="AM485" s="34"/>
    </row>
    <row r="486" spans="1:39" ht="12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G486" s="34"/>
      <c r="AH486" s="34"/>
      <c r="AI486" s="34"/>
      <c r="AJ486" s="34"/>
      <c r="AK486" s="34"/>
      <c r="AL486" s="34"/>
      <c r="AM486" s="34"/>
    </row>
    <row r="487" spans="1:39" ht="12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G487" s="34"/>
      <c r="AH487" s="34"/>
      <c r="AI487" s="34"/>
      <c r="AJ487" s="34"/>
      <c r="AK487" s="34"/>
      <c r="AL487" s="34"/>
      <c r="AM487" s="34"/>
    </row>
    <row r="488" spans="1:39" ht="12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G488" s="34"/>
      <c r="AH488" s="34"/>
      <c r="AI488" s="34"/>
      <c r="AJ488" s="34"/>
      <c r="AK488" s="34"/>
      <c r="AL488" s="34"/>
      <c r="AM488" s="34"/>
    </row>
    <row r="489" spans="1:39" ht="12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G489" s="34"/>
      <c r="AH489" s="34"/>
      <c r="AI489" s="34"/>
      <c r="AJ489" s="34"/>
      <c r="AK489" s="34"/>
      <c r="AL489" s="34"/>
      <c r="AM489" s="34"/>
    </row>
    <row r="490" spans="1:39" ht="12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G490" s="34"/>
      <c r="AH490" s="34"/>
      <c r="AI490" s="34"/>
      <c r="AJ490" s="34"/>
      <c r="AK490" s="34"/>
      <c r="AL490" s="34"/>
      <c r="AM490" s="34"/>
    </row>
    <row r="491" spans="1:39" ht="12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G491" s="34"/>
      <c r="AH491" s="34"/>
      <c r="AI491" s="34"/>
      <c r="AJ491" s="34"/>
      <c r="AK491" s="34"/>
      <c r="AL491" s="34"/>
      <c r="AM491" s="34"/>
    </row>
    <row r="492" spans="1:39" ht="12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G492" s="34"/>
      <c r="AH492" s="34"/>
      <c r="AI492" s="34"/>
      <c r="AJ492" s="34"/>
      <c r="AK492" s="34"/>
      <c r="AL492" s="34"/>
      <c r="AM492" s="34"/>
    </row>
    <row r="493" spans="1:39" ht="12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G493" s="34"/>
      <c r="AH493" s="34"/>
      <c r="AI493" s="34"/>
      <c r="AJ493" s="34"/>
      <c r="AK493" s="34"/>
      <c r="AL493" s="34"/>
      <c r="AM493" s="34"/>
    </row>
    <row r="494" spans="1:39" ht="12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G494" s="34"/>
      <c r="AH494" s="34"/>
      <c r="AI494" s="34"/>
      <c r="AJ494" s="34"/>
      <c r="AK494" s="34"/>
      <c r="AL494" s="34"/>
      <c r="AM494" s="34"/>
    </row>
    <row r="495" spans="1:39" ht="12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G495" s="34"/>
      <c r="AH495" s="34"/>
      <c r="AI495" s="34"/>
      <c r="AJ495" s="34"/>
      <c r="AK495" s="34"/>
      <c r="AL495" s="34"/>
      <c r="AM495" s="34"/>
    </row>
    <row r="496" spans="1:39" ht="12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G496" s="34"/>
      <c r="AH496" s="34"/>
      <c r="AI496" s="34"/>
      <c r="AJ496" s="34"/>
      <c r="AK496" s="34"/>
      <c r="AL496" s="34"/>
      <c r="AM496" s="34"/>
    </row>
    <row r="497" spans="1:39" ht="12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G497" s="34"/>
      <c r="AH497" s="34"/>
      <c r="AI497" s="34"/>
      <c r="AJ497" s="34"/>
      <c r="AK497" s="34"/>
      <c r="AL497" s="34"/>
      <c r="AM497" s="34"/>
    </row>
    <row r="498" spans="1:39" ht="12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G498" s="34"/>
      <c r="AH498" s="34"/>
      <c r="AI498" s="34"/>
      <c r="AJ498" s="34"/>
      <c r="AK498" s="34"/>
      <c r="AL498" s="34"/>
      <c r="AM498" s="34"/>
    </row>
    <row r="499" spans="1:39" ht="12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G499" s="34"/>
      <c r="AH499" s="34"/>
      <c r="AI499" s="34"/>
      <c r="AJ499" s="34"/>
      <c r="AK499" s="34"/>
      <c r="AL499" s="34"/>
      <c r="AM499" s="34"/>
    </row>
    <row r="500" spans="1:39" ht="12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G500" s="34"/>
      <c r="AH500" s="34"/>
      <c r="AI500" s="34"/>
      <c r="AJ500" s="34"/>
      <c r="AK500" s="34"/>
      <c r="AL500" s="34"/>
      <c r="AM500" s="34"/>
    </row>
    <row r="501" spans="1:39" ht="12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G501" s="34"/>
      <c r="AH501" s="34"/>
      <c r="AI501" s="34"/>
      <c r="AJ501" s="34"/>
      <c r="AK501" s="34"/>
      <c r="AL501" s="34"/>
      <c r="AM501" s="34"/>
    </row>
    <row r="502" spans="1:39" ht="12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G502" s="34"/>
      <c r="AH502" s="34"/>
      <c r="AI502" s="34"/>
      <c r="AJ502" s="34"/>
      <c r="AK502" s="34"/>
      <c r="AL502" s="34"/>
      <c r="AM502" s="34"/>
    </row>
    <row r="503" spans="1:39" ht="12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G503" s="34"/>
      <c r="AH503" s="34"/>
      <c r="AI503" s="34"/>
      <c r="AJ503" s="34"/>
      <c r="AK503" s="34"/>
      <c r="AL503" s="34"/>
      <c r="AM503" s="34"/>
    </row>
    <row r="504" spans="1:39" ht="12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G504" s="34"/>
      <c r="AH504" s="34"/>
      <c r="AI504" s="34"/>
      <c r="AJ504" s="34"/>
      <c r="AK504" s="34"/>
      <c r="AL504" s="34"/>
      <c r="AM504" s="34"/>
    </row>
    <row r="505" spans="1:39" ht="12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G505" s="34"/>
      <c r="AH505" s="34"/>
      <c r="AI505" s="34"/>
      <c r="AJ505" s="34"/>
      <c r="AK505" s="34"/>
      <c r="AL505" s="34"/>
      <c r="AM505" s="34"/>
    </row>
    <row r="506" spans="1:39" ht="12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G506" s="34"/>
      <c r="AH506" s="34"/>
      <c r="AI506" s="34"/>
      <c r="AJ506" s="34"/>
      <c r="AK506" s="34"/>
      <c r="AL506" s="34"/>
      <c r="AM506" s="34"/>
    </row>
    <row r="507" spans="1:39" ht="12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G507" s="34"/>
      <c r="AH507" s="34"/>
      <c r="AI507" s="34"/>
      <c r="AJ507" s="34"/>
      <c r="AK507" s="34"/>
      <c r="AL507" s="34"/>
      <c r="AM507" s="34"/>
    </row>
    <row r="508" spans="1:39" ht="12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G508" s="34"/>
      <c r="AH508" s="34"/>
      <c r="AI508" s="34"/>
      <c r="AJ508" s="34"/>
      <c r="AK508" s="34"/>
      <c r="AL508" s="34"/>
      <c r="AM508" s="34"/>
    </row>
    <row r="509" spans="1:39" ht="12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G509" s="34"/>
      <c r="AH509" s="34"/>
      <c r="AI509" s="34"/>
      <c r="AJ509" s="34"/>
      <c r="AK509" s="34"/>
      <c r="AL509" s="34"/>
      <c r="AM509" s="34"/>
    </row>
    <row r="510" spans="1:39" ht="12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G510" s="34"/>
      <c r="AH510" s="34"/>
      <c r="AI510" s="34"/>
      <c r="AJ510" s="34"/>
      <c r="AK510" s="34"/>
      <c r="AL510" s="34"/>
      <c r="AM510" s="34"/>
    </row>
    <row r="511" spans="1:39" ht="12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G511" s="34"/>
      <c r="AH511" s="34"/>
      <c r="AI511" s="34"/>
      <c r="AJ511" s="34"/>
      <c r="AK511" s="34"/>
      <c r="AL511" s="34"/>
      <c r="AM511" s="34"/>
    </row>
    <row r="512" spans="1:39" ht="12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G512" s="34"/>
      <c r="AH512" s="34"/>
      <c r="AI512" s="34"/>
      <c r="AJ512" s="34"/>
      <c r="AK512" s="34"/>
      <c r="AL512" s="34"/>
      <c r="AM512" s="34"/>
    </row>
    <row r="513" spans="1:39" ht="12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G513" s="34"/>
      <c r="AH513" s="34"/>
      <c r="AI513" s="34"/>
      <c r="AJ513" s="34"/>
      <c r="AK513" s="34"/>
      <c r="AL513" s="34"/>
      <c r="AM513" s="34"/>
    </row>
    <row r="514" spans="1:39" ht="12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G514" s="34"/>
      <c r="AH514" s="34"/>
      <c r="AI514" s="34"/>
      <c r="AJ514" s="34"/>
      <c r="AK514" s="34"/>
      <c r="AL514" s="34"/>
      <c r="AM514" s="34"/>
    </row>
    <row r="515" spans="1:39" ht="12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G515" s="34"/>
      <c r="AH515" s="34"/>
      <c r="AI515" s="34"/>
      <c r="AJ515" s="34"/>
      <c r="AK515" s="34"/>
      <c r="AL515" s="34"/>
      <c r="AM515" s="34"/>
    </row>
    <row r="516" spans="1:39" ht="12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G516" s="34"/>
      <c r="AH516" s="34"/>
      <c r="AI516" s="34"/>
      <c r="AJ516" s="34"/>
      <c r="AK516" s="34"/>
      <c r="AL516" s="34"/>
      <c r="AM516" s="34"/>
    </row>
    <row r="517" spans="1:39" ht="12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G517" s="34"/>
      <c r="AH517" s="34"/>
      <c r="AI517" s="34"/>
      <c r="AJ517" s="34"/>
      <c r="AK517" s="34"/>
      <c r="AL517" s="34"/>
      <c r="AM517" s="34"/>
    </row>
    <row r="518" spans="1:39" ht="12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G518" s="34"/>
      <c r="AH518" s="34"/>
      <c r="AI518" s="34"/>
      <c r="AJ518" s="34"/>
      <c r="AK518" s="34"/>
      <c r="AL518" s="34"/>
      <c r="AM518" s="34"/>
    </row>
    <row r="519" spans="1:39" ht="12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G519" s="34"/>
      <c r="AH519" s="34"/>
      <c r="AI519" s="34"/>
      <c r="AJ519" s="34"/>
      <c r="AK519" s="34"/>
      <c r="AL519" s="34"/>
      <c r="AM519" s="34"/>
    </row>
    <row r="520" spans="1:39" ht="12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G520" s="34"/>
      <c r="AH520" s="34"/>
      <c r="AI520" s="34"/>
      <c r="AJ520" s="34"/>
      <c r="AK520" s="34"/>
      <c r="AL520" s="34"/>
      <c r="AM520" s="34"/>
    </row>
    <row r="521" spans="1:39" ht="12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G521" s="34"/>
      <c r="AH521" s="34"/>
      <c r="AI521" s="34"/>
      <c r="AJ521" s="34"/>
      <c r="AK521" s="34"/>
      <c r="AL521" s="34"/>
      <c r="AM521" s="34"/>
    </row>
    <row r="522" spans="1:39" ht="12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G522" s="34"/>
      <c r="AH522" s="34"/>
      <c r="AI522" s="34"/>
      <c r="AJ522" s="34"/>
      <c r="AK522" s="34"/>
      <c r="AL522" s="34"/>
      <c r="AM522" s="34"/>
    </row>
    <row r="523" spans="1:39" ht="12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G523" s="34"/>
      <c r="AH523" s="34"/>
      <c r="AI523" s="34"/>
      <c r="AJ523" s="34"/>
      <c r="AK523" s="34"/>
      <c r="AL523" s="34"/>
      <c r="AM523" s="34"/>
    </row>
    <row r="524" spans="1:39" ht="12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G524" s="34"/>
      <c r="AH524" s="34"/>
      <c r="AI524" s="34"/>
      <c r="AJ524" s="34"/>
      <c r="AK524" s="34"/>
      <c r="AL524" s="34"/>
      <c r="AM524" s="34"/>
    </row>
    <row r="525" spans="1:39" ht="12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G525" s="34"/>
      <c r="AH525" s="34"/>
      <c r="AI525" s="34"/>
      <c r="AJ525" s="34"/>
      <c r="AK525" s="34"/>
      <c r="AL525" s="34"/>
      <c r="AM525" s="34"/>
    </row>
    <row r="526" spans="1:39" ht="12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G526" s="34"/>
      <c r="AH526" s="34"/>
      <c r="AI526" s="34"/>
      <c r="AJ526" s="34"/>
      <c r="AK526" s="34"/>
      <c r="AL526" s="34"/>
      <c r="AM526" s="34"/>
    </row>
    <row r="527" spans="1:39" ht="12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G527" s="34"/>
      <c r="AH527" s="34"/>
      <c r="AI527" s="34"/>
      <c r="AJ527" s="34"/>
      <c r="AK527" s="34"/>
      <c r="AL527" s="34"/>
      <c r="AM527" s="34"/>
    </row>
    <row r="528" spans="1:39" ht="12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G528" s="34"/>
      <c r="AH528" s="34"/>
      <c r="AI528" s="34"/>
      <c r="AJ528" s="34"/>
      <c r="AK528" s="34"/>
      <c r="AL528" s="34"/>
      <c r="AM528" s="34"/>
    </row>
    <row r="529" spans="1:39" ht="12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G529" s="34"/>
      <c r="AH529" s="34"/>
      <c r="AI529" s="34"/>
      <c r="AJ529" s="34"/>
      <c r="AK529" s="34"/>
      <c r="AL529" s="34"/>
      <c r="AM529" s="34"/>
    </row>
    <row r="530" spans="1:39" ht="12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G530" s="34"/>
      <c r="AH530" s="34"/>
      <c r="AI530" s="34"/>
      <c r="AJ530" s="34"/>
      <c r="AK530" s="34"/>
      <c r="AL530" s="34"/>
      <c r="AM530" s="34"/>
    </row>
    <row r="531" spans="1:39" ht="12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G531" s="34"/>
      <c r="AH531" s="34"/>
      <c r="AI531" s="34"/>
      <c r="AJ531" s="34"/>
      <c r="AK531" s="34"/>
      <c r="AL531" s="34"/>
      <c r="AM531" s="34"/>
    </row>
    <row r="532" spans="1:39" ht="12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G532" s="34"/>
      <c r="AH532" s="34"/>
      <c r="AI532" s="34"/>
      <c r="AJ532" s="34"/>
      <c r="AK532" s="34"/>
      <c r="AL532" s="34"/>
      <c r="AM532" s="34"/>
    </row>
    <row r="533" spans="1:39" ht="12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G533" s="34"/>
      <c r="AH533" s="34"/>
      <c r="AI533" s="34"/>
      <c r="AJ533" s="34"/>
      <c r="AK533" s="34"/>
      <c r="AL533" s="34"/>
      <c r="AM533" s="34"/>
    </row>
    <row r="534" spans="1:39" ht="12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G534" s="34"/>
      <c r="AH534" s="34"/>
      <c r="AI534" s="34"/>
      <c r="AJ534" s="34"/>
      <c r="AK534" s="34"/>
      <c r="AL534" s="34"/>
      <c r="AM534" s="34"/>
    </row>
    <row r="535" spans="1:39" ht="12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G535" s="34"/>
      <c r="AH535" s="34"/>
      <c r="AI535" s="34"/>
      <c r="AJ535" s="34"/>
      <c r="AK535" s="34"/>
      <c r="AL535" s="34"/>
      <c r="AM535" s="34"/>
    </row>
    <row r="536" spans="1:39" ht="12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G536" s="34"/>
      <c r="AH536" s="34"/>
      <c r="AI536" s="34"/>
      <c r="AJ536" s="34"/>
      <c r="AK536" s="34"/>
      <c r="AL536" s="34"/>
      <c r="AM536" s="34"/>
    </row>
    <row r="537" spans="1:39" ht="12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G537" s="34"/>
      <c r="AH537" s="34"/>
      <c r="AI537" s="34"/>
      <c r="AJ537" s="34"/>
      <c r="AK537" s="34"/>
      <c r="AL537" s="34"/>
      <c r="AM537" s="34"/>
    </row>
    <row r="538" spans="1:39" ht="12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G538" s="34"/>
      <c r="AH538" s="34"/>
      <c r="AI538" s="34"/>
      <c r="AJ538" s="34"/>
      <c r="AK538" s="34"/>
      <c r="AL538" s="34"/>
      <c r="AM538" s="34"/>
    </row>
    <row r="539" spans="1:39" ht="12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G539" s="34"/>
      <c r="AH539" s="34"/>
      <c r="AI539" s="34"/>
      <c r="AJ539" s="34"/>
      <c r="AK539" s="34"/>
      <c r="AL539" s="34"/>
      <c r="AM539" s="34"/>
    </row>
    <row r="540" spans="1:39" ht="12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G540" s="34"/>
      <c r="AH540" s="34"/>
      <c r="AI540" s="34"/>
      <c r="AJ540" s="34"/>
      <c r="AK540" s="34"/>
      <c r="AL540" s="34"/>
      <c r="AM540" s="34"/>
    </row>
    <row r="541" spans="1:39" ht="12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G541" s="34"/>
      <c r="AH541" s="34"/>
      <c r="AI541" s="34"/>
      <c r="AJ541" s="34"/>
      <c r="AK541" s="34"/>
      <c r="AL541" s="34"/>
      <c r="AM541" s="34"/>
    </row>
    <row r="542" spans="1:39" ht="12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G542" s="34"/>
      <c r="AH542" s="34"/>
      <c r="AI542" s="34"/>
      <c r="AJ542" s="34"/>
      <c r="AK542" s="34"/>
      <c r="AL542" s="34"/>
      <c r="AM542" s="34"/>
    </row>
    <row r="543" spans="1:39" ht="12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G543" s="34"/>
      <c r="AH543" s="34"/>
      <c r="AI543" s="34"/>
      <c r="AJ543" s="34"/>
      <c r="AK543" s="34"/>
      <c r="AL543" s="34"/>
      <c r="AM543" s="34"/>
    </row>
    <row r="544" spans="1:39" ht="12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G544" s="34"/>
      <c r="AH544" s="34"/>
      <c r="AI544" s="34"/>
      <c r="AJ544" s="34"/>
      <c r="AK544" s="34"/>
      <c r="AL544" s="34"/>
      <c r="AM544" s="34"/>
    </row>
    <row r="545" spans="1:39" ht="12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G545" s="34"/>
      <c r="AH545" s="34"/>
      <c r="AI545" s="34"/>
      <c r="AJ545" s="34"/>
      <c r="AK545" s="34"/>
      <c r="AL545" s="34"/>
      <c r="AM545" s="34"/>
    </row>
    <row r="546" spans="1:39" ht="12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G546" s="34"/>
      <c r="AH546" s="34"/>
      <c r="AI546" s="34"/>
      <c r="AJ546" s="34"/>
      <c r="AK546" s="34"/>
      <c r="AL546" s="34"/>
      <c r="AM546" s="34"/>
    </row>
    <row r="547" spans="1:39" ht="12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G547" s="34"/>
      <c r="AH547" s="34"/>
      <c r="AI547" s="34"/>
      <c r="AJ547" s="34"/>
      <c r="AK547" s="34"/>
      <c r="AL547" s="34"/>
      <c r="AM547" s="34"/>
    </row>
    <row r="548" spans="1:39" ht="12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G548" s="34"/>
      <c r="AH548" s="34"/>
      <c r="AI548" s="34"/>
      <c r="AJ548" s="34"/>
      <c r="AK548" s="34"/>
      <c r="AL548" s="34"/>
      <c r="AM548" s="34"/>
    </row>
    <row r="549" spans="1:39" ht="12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G549" s="34"/>
      <c r="AH549" s="34"/>
      <c r="AI549" s="34"/>
      <c r="AJ549" s="34"/>
      <c r="AK549" s="34"/>
      <c r="AL549" s="34"/>
      <c r="AM549" s="34"/>
    </row>
    <row r="550" spans="1:39" ht="12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G550" s="34"/>
      <c r="AH550" s="34"/>
      <c r="AI550" s="34"/>
      <c r="AJ550" s="34"/>
      <c r="AK550" s="34"/>
      <c r="AL550" s="34"/>
      <c r="AM550" s="34"/>
    </row>
    <row r="551" spans="1:39" ht="12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G551" s="34"/>
      <c r="AH551" s="34"/>
      <c r="AI551" s="34"/>
      <c r="AJ551" s="34"/>
      <c r="AK551" s="34"/>
      <c r="AL551" s="34"/>
      <c r="AM551" s="34"/>
    </row>
    <row r="552" spans="1:39" ht="12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G552" s="34"/>
      <c r="AH552" s="34"/>
      <c r="AI552" s="34"/>
      <c r="AJ552" s="34"/>
      <c r="AK552" s="34"/>
      <c r="AL552" s="34"/>
      <c r="AM552" s="34"/>
    </row>
    <row r="553" spans="1:39" ht="12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G553" s="34"/>
      <c r="AH553" s="34"/>
      <c r="AI553" s="34"/>
      <c r="AJ553" s="34"/>
      <c r="AK553" s="34"/>
      <c r="AL553" s="34"/>
      <c r="AM553" s="34"/>
    </row>
    <row r="554" spans="1:39" ht="12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G554" s="34"/>
      <c r="AH554" s="34"/>
      <c r="AI554" s="34"/>
      <c r="AJ554" s="34"/>
      <c r="AK554" s="34"/>
      <c r="AL554" s="34"/>
      <c r="AM554" s="34"/>
    </row>
    <row r="555" spans="1:39" ht="12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G555" s="34"/>
      <c r="AH555" s="34"/>
      <c r="AI555" s="34"/>
      <c r="AJ555" s="34"/>
      <c r="AK555" s="34"/>
      <c r="AL555" s="34"/>
      <c r="AM555" s="34"/>
    </row>
    <row r="556" spans="1:39" ht="12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G556" s="34"/>
      <c r="AH556" s="34"/>
      <c r="AI556" s="34"/>
      <c r="AJ556" s="34"/>
      <c r="AK556" s="34"/>
      <c r="AL556" s="34"/>
      <c r="AM556" s="34"/>
    </row>
    <row r="557" spans="1:39" ht="12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G557" s="34"/>
      <c r="AH557" s="34"/>
      <c r="AI557" s="34"/>
      <c r="AJ557" s="34"/>
      <c r="AK557" s="34"/>
      <c r="AL557" s="34"/>
      <c r="AM557" s="34"/>
    </row>
    <row r="558" spans="1:39" ht="12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G558" s="34"/>
      <c r="AH558" s="34"/>
      <c r="AI558" s="34"/>
      <c r="AJ558" s="34"/>
      <c r="AK558" s="34"/>
      <c r="AL558" s="34"/>
      <c r="AM558" s="34"/>
    </row>
    <row r="559" spans="1:39" ht="12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G559" s="34"/>
      <c r="AH559" s="34"/>
      <c r="AI559" s="34"/>
      <c r="AJ559" s="34"/>
      <c r="AK559" s="34"/>
      <c r="AL559" s="34"/>
      <c r="AM559" s="34"/>
    </row>
    <row r="560" spans="1:39" ht="12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G560" s="34"/>
      <c r="AH560" s="34"/>
      <c r="AI560" s="34"/>
      <c r="AJ560" s="34"/>
      <c r="AK560" s="34"/>
      <c r="AL560" s="34"/>
      <c r="AM560" s="34"/>
    </row>
    <row r="561" spans="1:39" ht="12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G561" s="34"/>
      <c r="AH561" s="34"/>
      <c r="AI561" s="34"/>
      <c r="AJ561" s="34"/>
      <c r="AK561" s="34"/>
      <c r="AL561" s="34"/>
      <c r="AM561" s="34"/>
    </row>
    <row r="562" spans="1:39" ht="12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G562" s="34"/>
      <c r="AH562" s="34"/>
      <c r="AI562" s="34"/>
      <c r="AJ562" s="34"/>
      <c r="AK562" s="34"/>
      <c r="AL562" s="34"/>
      <c r="AM562" s="34"/>
    </row>
    <row r="563" spans="1:39" ht="12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G563" s="34"/>
      <c r="AH563" s="34"/>
      <c r="AI563" s="34"/>
      <c r="AJ563" s="34"/>
      <c r="AK563" s="34"/>
      <c r="AL563" s="34"/>
      <c r="AM563" s="34"/>
    </row>
    <row r="564" spans="1:39" ht="12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G564" s="34"/>
      <c r="AH564" s="34"/>
      <c r="AI564" s="34"/>
      <c r="AJ564" s="34"/>
      <c r="AK564" s="34"/>
      <c r="AL564" s="34"/>
      <c r="AM564" s="34"/>
    </row>
    <row r="565" spans="1:39" ht="12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G565" s="34"/>
      <c r="AH565" s="34"/>
      <c r="AI565" s="34"/>
      <c r="AJ565" s="34"/>
      <c r="AK565" s="34"/>
      <c r="AL565" s="34"/>
      <c r="AM565" s="34"/>
    </row>
    <row r="566" spans="1:39" ht="12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G566" s="34"/>
      <c r="AH566" s="34"/>
      <c r="AI566" s="34"/>
      <c r="AJ566" s="34"/>
      <c r="AK566" s="34"/>
      <c r="AL566" s="34"/>
      <c r="AM566" s="34"/>
    </row>
    <row r="567" spans="1:39" ht="12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G567" s="34"/>
      <c r="AH567" s="34"/>
      <c r="AI567" s="34"/>
      <c r="AJ567" s="34"/>
      <c r="AK567" s="34"/>
      <c r="AL567" s="34"/>
      <c r="AM567" s="34"/>
    </row>
    <row r="568" spans="1:39" ht="12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G568" s="34"/>
      <c r="AH568" s="34"/>
      <c r="AI568" s="34"/>
      <c r="AJ568" s="34"/>
      <c r="AK568" s="34"/>
      <c r="AL568" s="34"/>
      <c r="AM568" s="34"/>
    </row>
    <row r="569" spans="1:39" ht="12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G569" s="34"/>
      <c r="AH569" s="34"/>
      <c r="AI569" s="34"/>
      <c r="AJ569" s="34"/>
      <c r="AK569" s="34"/>
      <c r="AL569" s="34"/>
      <c r="AM569" s="34"/>
    </row>
    <row r="570" spans="1:39" ht="12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G570" s="34"/>
      <c r="AH570" s="34"/>
      <c r="AI570" s="34"/>
      <c r="AJ570" s="34"/>
      <c r="AK570" s="34"/>
      <c r="AL570" s="34"/>
      <c r="AM570" s="34"/>
    </row>
    <row r="571" spans="1:39" ht="12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G571" s="34"/>
      <c r="AH571" s="34"/>
      <c r="AI571" s="34"/>
      <c r="AJ571" s="34"/>
      <c r="AK571" s="34"/>
      <c r="AL571" s="34"/>
      <c r="AM571" s="34"/>
    </row>
    <row r="572" spans="1:39" ht="12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G572" s="34"/>
      <c r="AH572" s="34"/>
      <c r="AI572" s="34"/>
      <c r="AJ572" s="34"/>
      <c r="AK572" s="34"/>
      <c r="AL572" s="34"/>
      <c r="AM572" s="34"/>
    </row>
    <row r="573" spans="1:39" ht="12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G573" s="34"/>
      <c r="AH573" s="34"/>
      <c r="AI573" s="34"/>
      <c r="AJ573" s="34"/>
      <c r="AK573" s="34"/>
      <c r="AL573" s="34"/>
      <c r="AM573" s="34"/>
    </row>
    <row r="574" spans="1:39" ht="12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G574" s="34"/>
      <c r="AH574" s="34"/>
      <c r="AI574" s="34"/>
      <c r="AJ574" s="34"/>
      <c r="AK574" s="34"/>
      <c r="AL574" s="34"/>
      <c r="AM574" s="34"/>
    </row>
    <row r="575" spans="1:39" ht="12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G575" s="34"/>
      <c r="AH575" s="34"/>
      <c r="AI575" s="34"/>
      <c r="AJ575" s="34"/>
      <c r="AK575" s="34"/>
      <c r="AL575" s="34"/>
      <c r="AM575" s="34"/>
    </row>
    <row r="576" spans="1:39" ht="12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G576" s="34"/>
      <c r="AH576" s="34"/>
      <c r="AI576" s="34"/>
      <c r="AJ576" s="34"/>
      <c r="AK576" s="34"/>
      <c r="AL576" s="34"/>
      <c r="AM576" s="34"/>
    </row>
    <row r="577" spans="1:39" ht="12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G577" s="34"/>
      <c r="AH577" s="34"/>
      <c r="AI577" s="34"/>
      <c r="AJ577" s="34"/>
      <c r="AK577" s="34"/>
      <c r="AL577" s="34"/>
      <c r="AM577" s="34"/>
    </row>
    <row r="578" spans="1:39" ht="12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G578" s="34"/>
      <c r="AH578" s="34"/>
      <c r="AI578" s="34"/>
      <c r="AJ578" s="34"/>
      <c r="AK578" s="34"/>
      <c r="AL578" s="34"/>
      <c r="AM578" s="34"/>
    </row>
    <row r="579" spans="1:39" ht="12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G579" s="34"/>
      <c r="AH579" s="34"/>
      <c r="AI579" s="34"/>
      <c r="AJ579" s="34"/>
      <c r="AK579" s="34"/>
      <c r="AL579" s="34"/>
      <c r="AM579" s="34"/>
    </row>
    <row r="580" spans="1:39" ht="12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G580" s="34"/>
      <c r="AH580" s="34"/>
      <c r="AI580" s="34"/>
      <c r="AJ580" s="34"/>
      <c r="AK580" s="34"/>
      <c r="AL580" s="34"/>
      <c r="AM580" s="34"/>
    </row>
    <row r="581" spans="1:39" ht="12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G581" s="34"/>
      <c r="AH581" s="34"/>
      <c r="AI581" s="34"/>
      <c r="AJ581" s="34"/>
      <c r="AK581" s="34"/>
      <c r="AL581" s="34"/>
      <c r="AM581" s="34"/>
    </row>
    <row r="582" spans="1:39" ht="12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G582" s="34"/>
      <c r="AH582" s="34"/>
      <c r="AI582" s="34"/>
      <c r="AJ582" s="34"/>
      <c r="AK582" s="34"/>
      <c r="AL582" s="34"/>
      <c r="AM582" s="34"/>
    </row>
    <row r="583" spans="1:39" ht="12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G583" s="34"/>
      <c r="AH583" s="34"/>
      <c r="AI583" s="34"/>
      <c r="AJ583" s="34"/>
      <c r="AK583" s="34"/>
      <c r="AL583" s="34"/>
      <c r="AM583" s="34"/>
    </row>
    <row r="584" spans="1:39" ht="12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G584" s="34"/>
      <c r="AH584" s="34"/>
      <c r="AI584" s="34"/>
      <c r="AJ584" s="34"/>
      <c r="AK584" s="34"/>
      <c r="AL584" s="34"/>
      <c r="AM584" s="34"/>
    </row>
    <row r="585" spans="1:39" ht="12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G585" s="34"/>
      <c r="AH585" s="34"/>
      <c r="AI585" s="34"/>
      <c r="AJ585" s="34"/>
      <c r="AK585" s="34"/>
      <c r="AL585" s="34"/>
      <c r="AM585" s="34"/>
    </row>
    <row r="586" spans="1:39" ht="12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G586" s="34"/>
      <c r="AH586" s="34"/>
      <c r="AI586" s="34"/>
      <c r="AJ586" s="34"/>
      <c r="AK586" s="34"/>
      <c r="AL586" s="34"/>
      <c r="AM586" s="34"/>
    </row>
    <row r="587" spans="1:39" ht="12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G587" s="34"/>
      <c r="AH587" s="34"/>
      <c r="AI587" s="34"/>
      <c r="AJ587" s="34"/>
      <c r="AK587" s="34"/>
      <c r="AL587" s="34"/>
      <c r="AM587" s="34"/>
    </row>
    <row r="588" spans="1:39" ht="12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G588" s="34"/>
      <c r="AH588" s="34"/>
      <c r="AI588" s="34"/>
      <c r="AJ588" s="34"/>
      <c r="AK588" s="34"/>
      <c r="AL588" s="34"/>
      <c r="AM588" s="34"/>
    </row>
    <row r="589" spans="1:39" ht="12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G589" s="34"/>
      <c r="AH589" s="34"/>
      <c r="AI589" s="34"/>
      <c r="AJ589" s="34"/>
      <c r="AK589" s="34"/>
      <c r="AL589" s="34"/>
      <c r="AM589" s="34"/>
    </row>
    <row r="590" spans="1:39" ht="12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G590" s="34"/>
      <c r="AH590" s="34"/>
      <c r="AI590" s="34"/>
      <c r="AJ590" s="34"/>
      <c r="AK590" s="34"/>
      <c r="AL590" s="34"/>
      <c r="AM590" s="34"/>
    </row>
    <row r="591" spans="1:39" ht="12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G591" s="34"/>
      <c r="AH591" s="34"/>
      <c r="AI591" s="34"/>
      <c r="AJ591" s="34"/>
      <c r="AK591" s="34"/>
      <c r="AL591" s="34"/>
      <c r="AM591" s="34"/>
    </row>
    <row r="592" spans="1:39" ht="12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G592" s="34"/>
      <c r="AH592" s="34"/>
      <c r="AI592" s="34"/>
      <c r="AJ592" s="34"/>
      <c r="AK592" s="34"/>
      <c r="AL592" s="34"/>
      <c r="AM592" s="34"/>
    </row>
    <row r="593" spans="1:39" ht="12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G593" s="34"/>
      <c r="AH593" s="34"/>
      <c r="AI593" s="34"/>
      <c r="AJ593" s="34"/>
      <c r="AK593" s="34"/>
      <c r="AL593" s="34"/>
      <c r="AM593" s="34"/>
    </row>
    <row r="594" spans="1:39" ht="12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G594" s="34"/>
      <c r="AH594" s="34"/>
      <c r="AI594" s="34"/>
      <c r="AJ594" s="34"/>
      <c r="AK594" s="34"/>
      <c r="AL594" s="34"/>
      <c r="AM594" s="34"/>
    </row>
    <row r="595" spans="1:39" ht="12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G595" s="34"/>
      <c r="AH595" s="34"/>
      <c r="AI595" s="34"/>
      <c r="AJ595" s="34"/>
      <c r="AK595" s="34"/>
      <c r="AL595" s="34"/>
      <c r="AM595" s="34"/>
    </row>
    <row r="596" spans="1:39" ht="12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G596" s="34"/>
      <c r="AH596" s="34"/>
      <c r="AI596" s="34"/>
      <c r="AJ596" s="34"/>
      <c r="AK596" s="34"/>
      <c r="AL596" s="34"/>
      <c r="AM596" s="34"/>
    </row>
    <row r="597" spans="1:39" ht="12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G597" s="34"/>
      <c r="AH597" s="34"/>
      <c r="AI597" s="34"/>
      <c r="AJ597" s="34"/>
      <c r="AK597" s="34"/>
      <c r="AL597" s="34"/>
      <c r="AM597" s="34"/>
    </row>
    <row r="598" spans="1:39" ht="12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G598" s="34"/>
      <c r="AH598" s="34"/>
      <c r="AI598" s="34"/>
      <c r="AJ598" s="34"/>
      <c r="AK598" s="34"/>
      <c r="AL598" s="34"/>
      <c r="AM598" s="34"/>
    </row>
    <row r="599" spans="1:39" ht="12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G599" s="34"/>
      <c r="AH599" s="34"/>
      <c r="AI599" s="34"/>
      <c r="AJ599" s="34"/>
      <c r="AK599" s="34"/>
      <c r="AL599" s="34"/>
      <c r="AM599" s="34"/>
    </row>
    <row r="600" spans="1:39" ht="12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G600" s="34"/>
      <c r="AH600" s="34"/>
      <c r="AI600" s="34"/>
      <c r="AJ600" s="34"/>
      <c r="AK600" s="34"/>
      <c r="AL600" s="34"/>
      <c r="AM600" s="34"/>
    </row>
    <row r="601" spans="1:39" ht="12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G601" s="34"/>
      <c r="AH601" s="34"/>
      <c r="AI601" s="34"/>
      <c r="AJ601" s="34"/>
      <c r="AK601" s="34"/>
      <c r="AL601" s="34"/>
      <c r="AM601" s="34"/>
    </row>
    <row r="602" spans="1:39" ht="12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G602" s="34"/>
      <c r="AH602" s="34"/>
      <c r="AI602" s="34"/>
      <c r="AJ602" s="34"/>
      <c r="AK602" s="34"/>
      <c r="AL602" s="34"/>
      <c r="AM602" s="34"/>
    </row>
    <row r="603" spans="1:39" ht="12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G603" s="34"/>
      <c r="AH603" s="34"/>
      <c r="AI603" s="34"/>
      <c r="AJ603" s="34"/>
      <c r="AK603" s="34"/>
      <c r="AL603" s="34"/>
      <c r="AM603" s="34"/>
    </row>
    <row r="604" spans="1:39" ht="12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G604" s="34"/>
      <c r="AH604" s="34"/>
      <c r="AI604" s="34"/>
      <c r="AJ604" s="34"/>
      <c r="AK604" s="34"/>
      <c r="AL604" s="34"/>
      <c r="AM604" s="34"/>
    </row>
  </sheetData>
  <sheetProtection/>
  <printOptions horizontalCentered="1"/>
  <pageMargins left="0.5" right="0.5" top="0.5" bottom="0.5" header="0" footer="0.25"/>
  <pageSetup firstPageNumber="36" useFirstPageNumber="1" fitToHeight="2" fitToWidth="2" horizontalDpi="600" verticalDpi="600" orientation="portrait" pageOrder="overThenDown" scale="95" r:id="rId1"/>
  <headerFooter scaleWithDoc="0" alignWithMargins="0">
    <oddFooter>&amp;C&amp;"Times New Roman,Regular"&amp;11&amp;P</oddFooter>
  </headerFooter>
  <rowBreaks count="1" manualBreakCount="1">
    <brk id="79" max="28" man="1"/>
  </rowBreaks>
  <colBreaks count="1" manualBreakCount="1">
    <brk id="14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A. Burlenski</cp:lastModifiedBy>
  <cp:lastPrinted>2012-03-07T19:22:02Z</cp:lastPrinted>
  <dcterms:created xsi:type="dcterms:W3CDTF">2002-06-04T12:17:39Z</dcterms:created>
  <dcterms:modified xsi:type="dcterms:W3CDTF">2012-03-07T19:28:55Z</dcterms:modified>
  <cp:category/>
  <cp:version/>
  <cp:contentType/>
  <cp:contentStatus/>
</cp:coreProperties>
</file>